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4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 filterPrivacy="1" codeName="DieseArbeitsmappe" defaultThemeVersion="124226"/>
  <xr:revisionPtr revIDLastSave="0" documentId="8_{3906FF5E-748A-452F-8562-4C8883980360}" xr6:coauthVersionLast="43" xr6:coauthVersionMax="43" xr10:uidLastSave="{00000000-0000-0000-0000-000000000000}"/>
  <bookViews>
    <workbookView xWindow="3000" yWindow="3000" windowWidth="23325" windowHeight="13170" tabRatio="893" xr2:uid="{00000000-000D-0000-FFFF-FFFF00000000}"/>
  </bookViews>
  <sheets>
    <sheet name="1. Cover page" sheetId="5" r:id="rId1"/>
    <sheet name="2. Target system" sheetId="14" r:id="rId2"/>
    <sheet name="3. General project description" sheetId="25" r:id="rId3"/>
    <sheet name="4. Input_traffic data" sheetId="20" r:id="rId4"/>
    <sheet name="5. Input_monetary values" sheetId="7" r:id="rId5"/>
    <sheet name="6. Conversion_factors" sheetId="19" r:id="rId6"/>
    <sheet name="7. Public Financing" sheetId="26" r:id="rId7"/>
    <sheet name="8. Transport Network Perform." sheetId="13" r:id="rId8"/>
    <sheet name="9. Environment" sheetId="1" r:id="rId9"/>
    <sheet name="10. Society" sheetId="9" r:id="rId10"/>
    <sheet name="11. Private Business" sheetId="12" r:id="rId11"/>
    <sheet name="12. Overview_MCA" sheetId="15" r:id="rId12"/>
    <sheet name="13. Overview_WBA" sheetId="22" r:id="rId13"/>
    <sheet name="14. Overview_CBA" sheetId="3" r:id="rId14"/>
    <sheet name="15. Overview_qual. appraisal" sheetId="11" r:id="rId15"/>
    <sheet name="16. Result_Impact assessment" sheetId="17" r:id="rId16"/>
    <sheet name="Countries_list" sheetId="24" state="hidden" r:id="rId17"/>
  </sheets>
  <definedNames>
    <definedName name="AssessmentPeriod">Countries_list!$A$58:$A$59</definedName>
    <definedName name="Countries">Countries_list!$A$2:$A$32</definedName>
    <definedName name="_xlnm.Print_Area" localSheetId="9">'10. Society'!$A$1:$H$19</definedName>
    <definedName name="_xlnm.Print_Area" localSheetId="10">'11. Private Business'!$A$1:$T$23</definedName>
    <definedName name="_xlnm.Print_Area" localSheetId="11">'12. Overview_MCA'!$B$4:$D$22</definedName>
    <definedName name="_xlnm.Print_Area" localSheetId="12">'13. Overview_WBA'!$A$1:$L$23</definedName>
    <definedName name="_xlnm.Print_Area" localSheetId="13">'14. Overview_CBA'!$A$1:$G$29</definedName>
    <definedName name="_xlnm.Print_Area" localSheetId="14">'15. Overview_qual. appraisal'!$A$1:$J$17</definedName>
    <definedName name="_xlnm.Print_Area" localSheetId="3">'4. Input_traffic data'!$A$1:$O$31</definedName>
    <definedName name="_xlnm.Print_Area" localSheetId="7">'8. Transport Network Perform.'!$A$1:$K$15</definedName>
    <definedName name="_xlnm.Print_Area" localSheetId="8">'9. Environment'!$A$1:$K$26</definedName>
    <definedName name="FleetMixEurope" localSheetId="12">#REF!</definedName>
    <definedName name="FleetMixEurope">#REF!</definedName>
    <definedName name="fourseasons" localSheetId="12">#REF!</definedName>
    <definedName name="fourseasons">#REF!</definedName>
    <definedName name="TimePeriods" localSheetId="12">#REF!</definedName>
    <definedName name="TimePeriods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5" i="17" l="1"/>
  <c r="F14" i="17" l="1"/>
  <c r="F13" i="17"/>
  <c r="F12" i="17"/>
  <c r="B15" i="17"/>
  <c r="B14" i="17"/>
  <c r="B13" i="17"/>
  <c r="B12" i="17"/>
  <c r="E13" i="22" l="1"/>
  <c r="E12" i="22"/>
  <c r="G12" i="22" l="1"/>
  <c r="J12" i="22" s="1"/>
  <c r="L12" i="22" s="1"/>
  <c r="E21" i="22"/>
  <c r="J6" i="11" l="1"/>
  <c r="J9" i="11"/>
  <c r="D39" i="17" l="1"/>
  <c r="G22" i="15"/>
  <c r="D36" i="17"/>
  <c r="G14" i="15"/>
  <c r="I14" i="15" s="1"/>
  <c r="K7" i="1"/>
  <c r="W7" i="12"/>
  <c r="P7" i="12"/>
  <c r="Q7" i="12"/>
  <c r="P9" i="12"/>
  <c r="Q9" i="12"/>
  <c r="H4" i="1"/>
  <c r="G6" i="1"/>
  <c r="G7" i="1"/>
  <c r="E7" i="1"/>
  <c r="E4" i="1"/>
  <c r="D4" i="1"/>
  <c r="D9" i="12"/>
  <c r="C4" i="1"/>
  <c r="G10" i="9"/>
  <c r="G9" i="9"/>
  <c r="P22" i="20"/>
  <c r="G4" i="9" s="1"/>
  <c r="G5" i="9" s="1"/>
  <c r="B10" i="9"/>
  <c r="B9" i="9"/>
  <c r="C43" i="19"/>
  <c r="B43" i="19"/>
  <c r="B22" i="26"/>
  <c r="B23" i="26"/>
  <c r="B24" i="26"/>
  <c r="B25" i="26"/>
  <c r="B21" i="26"/>
  <c r="B11" i="26"/>
  <c r="C11" i="26"/>
  <c r="B12" i="26"/>
  <c r="C12" i="26"/>
  <c r="B13" i="26"/>
  <c r="C13" i="26"/>
  <c r="B14" i="26"/>
  <c r="C14" i="26"/>
  <c r="B15" i="26"/>
  <c r="C15" i="26"/>
  <c r="B16" i="26"/>
  <c r="C16" i="26"/>
  <c r="C10" i="26"/>
  <c r="B10" i="26"/>
  <c r="B4" i="26"/>
  <c r="B5" i="26"/>
  <c r="B6" i="26"/>
  <c r="B17" i="17"/>
  <c r="D53" i="7"/>
  <c r="C53" i="7"/>
  <c r="B53" i="7"/>
  <c r="D49" i="7"/>
  <c r="B42" i="7"/>
  <c r="B38" i="7"/>
  <c r="B34" i="7"/>
  <c r="B33" i="7"/>
  <c r="B32" i="7"/>
  <c r="S27" i="7"/>
  <c r="Q27" i="7"/>
  <c r="O27" i="7"/>
  <c r="M27" i="7"/>
  <c r="I27" i="7"/>
  <c r="G27" i="7"/>
  <c r="E27" i="7"/>
  <c r="C27" i="7"/>
  <c r="S26" i="7"/>
  <c r="Q26" i="7"/>
  <c r="O26" i="7"/>
  <c r="M26" i="7"/>
  <c r="I26" i="7"/>
  <c r="G26" i="7"/>
  <c r="E26" i="7"/>
  <c r="C26" i="7"/>
  <c r="U25" i="7"/>
  <c r="S25" i="7"/>
  <c r="Q25" i="7"/>
  <c r="O25" i="7"/>
  <c r="M25" i="7"/>
  <c r="K25" i="7"/>
  <c r="I25" i="7"/>
  <c r="G25" i="7"/>
  <c r="E25" i="7"/>
  <c r="C25" i="7"/>
  <c r="G13" i="22"/>
  <c r="J13" i="22" s="1"/>
  <c r="L13" i="22" s="1"/>
  <c r="E18" i="22"/>
  <c r="E17" i="22"/>
  <c r="G17" i="22" s="1"/>
  <c r="J17" i="22" s="1"/>
  <c r="L17" i="22" s="1"/>
  <c r="T2" i="24"/>
  <c r="U2" i="24"/>
  <c r="T3" i="24"/>
  <c r="U3" i="24"/>
  <c r="T4" i="24"/>
  <c r="U4" i="24"/>
  <c r="T5" i="24"/>
  <c r="U5" i="24"/>
  <c r="T6" i="24"/>
  <c r="U6" i="24"/>
  <c r="T7" i="24"/>
  <c r="U7" i="24"/>
  <c r="T8" i="24"/>
  <c r="U8" i="24"/>
  <c r="T9" i="24"/>
  <c r="U9" i="24"/>
  <c r="T10" i="24"/>
  <c r="U10" i="24"/>
  <c r="T11" i="24"/>
  <c r="U11" i="24"/>
  <c r="T12" i="24"/>
  <c r="U12" i="24"/>
  <c r="T13" i="24"/>
  <c r="U13" i="24"/>
  <c r="T14" i="24"/>
  <c r="U14" i="24"/>
  <c r="T15" i="24"/>
  <c r="U15" i="24"/>
  <c r="T16" i="24"/>
  <c r="U16" i="24"/>
  <c r="T17" i="24"/>
  <c r="U17" i="24"/>
  <c r="T18" i="24"/>
  <c r="U18" i="24"/>
  <c r="T19" i="24"/>
  <c r="U19" i="24"/>
  <c r="T20" i="24"/>
  <c r="U20" i="24"/>
  <c r="T21" i="24"/>
  <c r="U21" i="24"/>
  <c r="T22" i="24"/>
  <c r="U22" i="24"/>
  <c r="T23" i="24"/>
  <c r="U23" i="24"/>
  <c r="T24" i="24"/>
  <c r="U24" i="24"/>
  <c r="T25" i="24"/>
  <c r="U25" i="24"/>
  <c r="T26" i="24"/>
  <c r="U26" i="24"/>
  <c r="T27" i="24"/>
  <c r="U27" i="24"/>
  <c r="T28" i="24"/>
  <c r="U28" i="24"/>
  <c r="T29" i="24"/>
  <c r="U29" i="24"/>
  <c r="T30" i="24"/>
  <c r="U30" i="24"/>
  <c r="T31" i="24"/>
  <c r="U31" i="24"/>
  <c r="T32" i="24"/>
  <c r="U32" i="24"/>
  <c r="T26" i="7"/>
  <c r="T27" i="7"/>
  <c r="T25" i="7"/>
  <c r="T28" i="7" s="1"/>
  <c r="R26" i="7"/>
  <c r="R27" i="7"/>
  <c r="R25" i="7"/>
  <c r="P26" i="7"/>
  <c r="P27" i="7"/>
  <c r="P25" i="7"/>
  <c r="N26" i="7"/>
  <c r="N27" i="7"/>
  <c r="N25" i="7"/>
  <c r="L26" i="7"/>
  <c r="L27" i="7"/>
  <c r="L25" i="7"/>
  <c r="L28" i="7" s="1"/>
  <c r="J26" i="7"/>
  <c r="J27" i="7"/>
  <c r="J25" i="7"/>
  <c r="H26" i="7"/>
  <c r="H27" i="7"/>
  <c r="H25" i="7"/>
  <c r="F26" i="7"/>
  <c r="F27" i="7"/>
  <c r="F25" i="7"/>
  <c r="D26" i="7"/>
  <c r="D27" i="7"/>
  <c r="D25" i="7"/>
  <c r="B26" i="7"/>
  <c r="B27" i="7"/>
  <c r="B25" i="7"/>
  <c r="Y11" i="12"/>
  <c r="Y10" i="12"/>
  <c r="X11" i="12"/>
  <c r="X10" i="12"/>
  <c r="W11" i="12"/>
  <c r="W10" i="12"/>
  <c r="V11" i="12"/>
  <c r="V10" i="12"/>
  <c r="U11" i="12"/>
  <c r="U10" i="12"/>
  <c r="T11" i="12"/>
  <c r="T10" i="12"/>
  <c r="S11" i="12"/>
  <c r="S10" i="12"/>
  <c r="R11" i="12"/>
  <c r="R10" i="12"/>
  <c r="Q11" i="12"/>
  <c r="Q10" i="12"/>
  <c r="P11" i="12"/>
  <c r="P10" i="12"/>
  <c r="O11" i="12"/>
  <c r="O10" i="12"/>
  <c r="N11" i="12"/>
  <c r="N10" i="12"/>
  <c r="M11" i="12"/>
  <c r="M10" i="12"/>
  <c r="L11" i="12"/>
  <c r="L10" i="12"/>
  <c r="K11" i="12"/>
  <c r="K10" i="12"/>
  <c r="J11" i="12"/>
  <c r="J10" i="12"/>
  <c r="I11" i="12"/>
  <c r="I10" i="12"/>
  <c r="H11" i="12"/>
  <c r="H10" i="12"/>
  <c r="G11" i="12"/>
  <c r="G10" i="12"/>
  <c r="F11" i="12"/>
  <c r="F10" i="12"/>
  <c r="E11" i="12"/>
  <c r="E10" i="12"/>
  <c r="D11" i="12"/>
  <c r="D10" i="12"/>
  <c r="C11" i="12"/>
  <c r="C10" i="12"/>
  <c r="B11" i="12"/>
  <c r="B10" i="12"/>
  <c r="I9" i="1"/>
  <c r="I8" i="1"/>
  <c r="H9" i="1"/>
  <c r="H8" i="1"/>
  <c r="G9" i="1"/>
  <c r="G8" i="1"/>
  <c r="H6" i="13"/>
  <c r="H5" i="13"/>
  <c r="G6" i="13"/>
  <c r="G5" i="13"/>
  <c r="J9" i="1"/>
  <c r="J8" i="1"/>
  <c r="K9" i="1"/>
  <c r="K8" i="1"/>
  <c r="K5" i="13"/>
  <c r="F9" i="1"/>
  <c r="F8" i="1"/>
  <c r="E9" i="1"/>
  <c r="E8" i="1"/>
  <c r="D9" i="1"/>
  <c r="D8" i="1"/>
  <c r="C9" i="1"/>
  <c r="C8" i="1"/>
  <c r="B9" i="1"/>
  <c r="B8" i="1"/>
  <c r="K6" i="13"/>
  <c r="J6" i="13"/>
  <c r="J5" i="13"/>
  <c r="I6" i="13"/>
  <c r="I5" i="13"/>
  <c r="F6" i="13"/>
  <c r="F5" i="13"/>
  <c r="E6" i="13"/>
  <c r="E5" i="13"/>
  <c r="D6" i="13"/>
  <c r="D5" i="13"/>
  <c r="C6" i="13"/>
  <c r="C5" i="13"/>
  <c r="B6" i="13"/>
  <c r="B5" i="13"/>
  <c r="K9" i="13"/>
  <c r="F9" i="13"/>
  <c r="K11" i="13"/>
  <c r="F11" i="13"/>
  <c r="F14" i="13" s="1"/>
  <c r="K4" i="13"/>
  <c r="J4" i="13"/>
  <c r="I4" i="13"/>
  <c r="H4" i="13"/>
  <c r="G4" i="13"/>
  <c r="F4" i="13"/>
  <c r="E4" i="13"/>
  <c r="D4" i="13"/>
  <c r="C4" i="13"/>
  <c r="C10" i="13" s="1"/>
  <c r="B4" i="13"/>
  <c r="N6" i="12"/>
  <c r="O6" i="12"/>
  <c r="Q6" i="12"/>
  <c r="R6" i="12"/>
  <c r="S6" i="12"/>
  <c r="T6" i="12"/>
  <c r="U6" i="12"/>
  <c r="V6" i="12"/>
  <c r="W6" i="12"/>
  <c r="X6" i="12"/>
  <c r="Y6" i="12"/>
  <c r="N7" i="12"/>
  <c r="O7" i="12"/>
  <c r="R7" i="12"/>
  <c r="S7" i="12"/>
  <c r="T7" i="12"/>
  <c r="U7" i="12"/>
  <c r="V7" i="12"/>
  <c r="X7" i="12"/>
  <c r="Y7" i="12"/>
  <c r="N8" i="12"/>
  <c r="O8" i="12"/>
  <c r="P8" i="12"/>
  <c r="Q8" i="12"/>
  <c r="R8" i="12"/>
  <c r="S8" i="12"/>
  <c r="T8" i="12"/>
  <c r="U8" i="12"/>
  <c r="V8" i="12"/>
  <c r="W8" i="12"/>
  <c r="X8" i="12"/>
  <c r="Y8" i="12"/>
  <c r="N9" i="12"/>
  <c r="O9" i="12"/>
  <c r="R9" i="12"/>
  <c r="S9" i="12"/>
  <c r="T9" i="12"/>
  <c r="U9" i="12"/>
  <c r="V9" i="12"/>
  <c r="W9" i="12"/>
  <c r="X9" i="12"/>
  <c r="Y9" i="12"/>
  <c r="C6" i="12"/>
  <c r="F6" i="12"/>
  <c r="G6" i="12"/>
  <c r="H6" i="12"/>
  <c r="I6" i="12"/>
  <c r="J6" i="12"/>
  <c r="L6" i="12"/>
  <c r="M6" i="12"/>
  <c r="C7" i="12"/>
  <c r="D7" i="12"/>
  <c r="E7" i="12"/>
  <c r="F7" i="12"/>
  <c r="G7" i="12"/>
  <c r="H7" i="12"/>
  <c r="I7" i="12"/>
  <c r="J7" i="12"/>
  <c r="K7" i="12"/>
  <c r="L7" i="12"/>
  <c r="M7" i="12"/>
  <c r="C8" i="12"/>
  <c r="D8" i="12"/>
  <c r="E8" i="12"/>
  <c r="F8" i="12"/>
  <c r="G8" i="12"/>
  <c r="H8" i="12"/>
  <c r="I8" i="12"/>
  <c r="J8" i="12"/>
  <c r="K8" i="12"/>
  <c r="L8" i="12"/>
  <c r="M8" i="12"/>
  <c r="C9" i="12"/>
  <c r="E9" i="12"/>
  <c r="F9" i="12"/>
  <c r="G9" i="12"/>
  <c r="H9" i="12"/>
  <c r="I9" i="12"/>
  <c r="J9" i="12"/>
  <c r="K9" i="12"/>
  <c r="L9" i="12"/>
  <c r="M9" i="12"/>
  <c r="B7" i="12"/>
  <c r="B8" i="12"/>
  <c r="B9" i="12"/>
  <c r="B6" i="12"/>
  <c r="K5" i="1"/>
  <c r="K6" i="1"/>
  <c r="K4" i="1"/>
  <c r="J6" i="1"/>
  <c r="J7" i="1"/>
  <c r="J4" i="1"/>
  <c r="I6" i="1"/>
  <c r="I4" i="1"/>
  <c r="H5" i="1"/>
  <c r="H6" i="1"/>
  <c r="G5" i="1"/>
  <c r="G4" i="1"/>
  <c r="F5" i="1"/>
  <c r="F6" i="1"/>
  <c r="F7" i="1"/>
  <c r="F4" i="1"/>
  <c r="E5" i="1"/>
  <c r="E6" i="1"/>
  <c r="D5" i="1"/>
  <c r="D6" i="1"/>
  <c r="D7" i="1"/>
  <c r="C5" i="1"/>
  <c r="C6" i="1"/>
  <c r="C7" i="1"/>
  <c r="B6" i="1"/>
  <c r="B7" i="1"/>
  <c r="B5" i="1"/>
  <c r="B4" i="1"/>
  <c r="K10" i="13"/>
  <c r="B11" i="9"/>
  <c r="E15" i="22" s="1"/>
  <c r="B43" i="7"/>
  <c r="G43" i="7"/>
  <c r="J8" i="11"/>
  <c r="J7" i="11"/>
  <c r="J5" i="11"/>
  <c r="G13" i="15" s="1"/>
  <c r="I13" i="15" s="1"/>
  <c r="J18" i="22"/>
  <c r="L18" i="22" s="1"/>
  <c r="U4" i="12"/>
  <c r="G9" i="13"/>
  <c r="B9" i="13"/>
  <c r="K45" i="7"/>
  <c r="U5" i="12"/>
  <c r="U19" i="12" s="1"/>
  <c r="I5" i="12"/>
  <c r="I19" i="12" s="1"/>
  <c r="I4" i="12"/>
  <c r="C43" i="7"/>
  <c r="D43" i="7"/>
  <c r="E43" i="7"/>
  <c r="F43" i="7"/>
  <c r="H43" i="7"/>
  <c r="I43" i="7"/>
  <c r="J43" i="7"/>
  <c r="K43" i="7"/>
  <c r="L43" i="7"/>
  <c r="C44" i="7"/>
  <c r="D44" i="7"/>
  <c r="E44" i="7"/>
  <c r="F44" i="7"/>
  <c r="G44" i="7"/>
  <c r="H44" i="7"/>
  <c r="I44" i="7"/>
  <c r="J44" i="7"/>
  <c r="K44" i="7"/>
  <c r="L44" i="7"/>
  <c r="C45" i="7"/>
  <c r="D45" i="7"/>
  <c r="E45" i="7"/>
  <c r="F45" i="7"/>
  <c r="G45" i="7"/>
  <c r="H45" i="7"/>
  <c r="I45" i="7"/>
  <c r="J45" i="7"/>
  <c r="L45" i="7"/>
  <c r="B44" i="7"/>
  <c r="B45" i="7"/>
  <c r="E17" i="9"/>
  <c r="D17" i="9"/>
  <c r="C17" i="9"/>
  <c r="B17" i="9"/>
  <c r="B18" i="9" s="1"/>
  <c r="O5" i="12"/>
  <c r="R5" i="12"/>
  <c r="R19" i="12" s="1"/>
  <c r="S5" i="12"/>
  <c r="S19" i="12" s="1"/>
  <c r="X5" i="12"/>
  <c r="X19" i="12" s="1"/>
  <c r="C5" i="12"/>
  <c r="C19" i="12" s="1"/>
  <c r="C20" i="12" s="1"/>
  <c r="F5" i="12"/>
  <c r="F19" i="12" s="1"/>
  <c r="G5" i="12"/>
  <c r="G19" i="12" s="1"/>
  <c r="L5" i="12"/>
  <c r="L19" i="12" s="1"/>
  <c r="D24" i="1"/>
  <c r="B24" i="1"/>
  <c r="M5" i="12"/>
  <c r="F24" i="1"/>
  <c r="K5" i="12"/>
  <c r="E24" i="1"/>
  <c r="N5" i="12"/>
  <c r="G24" i="1"/>
  <c r="Q5" i="12"/>
  <c r="I24" i="1"/>
  <c r="P5" i="12"/>
  <c r="H24" i="1"/>
  <c r="W5" i="12"/>
  <c r="J24" i="1"/>
  <c r="Y5" i="12"/>
  <c r="K24" i="1"/>
  <c r="D5" i="12"/>
  <c r="C24" i="1"/>
  <c r="V5" i="12"/>
  <c r="B5" i="12"/>
  <c r="E5" i="12"/>
  <c r="J5" i="12"/>
  <c r="T5" i="12"/>
  <c r="H5" i="12"/>
  <c r="Y4" i="12"/>
  <c r="X4" i="12"/>
  <c r="L4" i="12"/>
  <c r="W4" i="12"/>
  <c r="I9" i="13"/>
  <c r="I10" i="13"/>
  <c r="S4" i="12"/>
  <c r="R4" i="12"/>
  <c r="Q4" i="12"/>
  <c r="P4" i="12"/>
  <c r="O4" i="12"/>
  <c r="C4" i="12"/>
  <c r="D4" i="12"/>
  <c r="E4" i="12"/>
  <c r="F4" i="12"/>
  <c r="G4" i="12"/>
  <c r="D9" i="13"/>
  <c r="K4" i="12"/>
  <c r="M4" i="12"/>
  <c r="B4" i="12"/>
  <c r="N4" i="12"/>
  <c r="E9" i="13"/>
  <c r="E10" i="13"/>
  <c r="J4" i="12"/>
  <c r="J9" i="13"/>
  <c r="V4" i="12"/>
  <c r="T4" i="12"/>
  <c r="H4" i="12"/>
  <c r="C9" i="13"/>
  <c r="H9" i="13"/>
  <c r="H10" i="13" s="1"/>
  <c r="I22" i="15"/>
  <c r="G21" i="22"/>
  <c r="J21" i="22" s="1"/>
  <c r="L21" i="22" s="1"/>
  <c r="G16" i="15"/>
  <c r="G10" i="13" l="1"/>
  <c r="G12" i="13" s="1"/>
  <c r="F10" i="13"/>
  <c r="D11" i="26"/>
  <c r="E11" i="26" s="1"/>
  <c r="B26" i="26"/>
  <c r="M19" i="12"/>
  <c r="M20" i="12" s="1"/>
  <c r="C49" i="7"/>
  <c r="J10" i="13"/>
  <c r="D10" i="13"/>
  <c r="B10" i="13"/>
  <c r="F12" i="1"/>
  <c r="B49" i="7"/>
  <c r="G19" i="15"/>
  <c r="I19" i="15" s="1"/>
  <c r="D38" i="17"/>
  <c r="G18" i="15"/>
  <c r="I18" i="15" s="1"/>
  <c r="D37" i="17"/>
  <c r="D35" i="17"/>
  <c r="D28" i="7"/>
  <c r="C12" i="13" s="1"/>
  <c r="B28" i="7"/>
  <c r="B12" i="13" s="1"/>
  <c r="P28" i="7"/>
  <c r="I12" i="13" s="1"/>
  <c r="B17" i="26"/>
  <c r="D14" i="12"/>
  <c r="K14" i="12"/>
  <c r="F28" i="7"/>
  <c r="D12" i="13" s="1"/>
  <c r="H28" i="7"/>
  <c r="E12" i="13" s="1"/>
  <c r="J28" i="7"/>
  <c r="F12" i="13" s="1"/>
  <c r="N28" i="7"/>
  <c r="R28" i="7"/>
  <c r="J12" i="13" s="1"/>
  <c r="W14" i="12"/>
  <c r="B14" i="12"/>
  <c r="D10" i="26"/>
  <c r="E10" i="26" s="1"/>
  <c r="D12" i="26"/>
  <c r="E12" i="26" s="1"/>
  <c r="B12" i="9"/>
  <c r="E24" i="3" s="1"/>
  <c r="T14" i="12"/>
  <c r="F14" i="12"/>
  <c r="S14" i="12"/>
  <c r="M14" i="12"/>
  <c r="D13" i="26"/>
  <c r="E13" i="26" s="1"/>
  <c r="D15" i="26"/>
  <c r="E15" i="26" s="1"/>
  <c r="D14" i="26"/>
  <c r="E14" i="26" s="1"/>
  <c r="D16" i="26"/>
  <c r="E16" i="26" s="1"/>
  <c r="F6" i="22"/>
  <c r="G6" i="22" s="1"/>
  <c r="J6" i="22" s="1"/>
  <c r="L6" i="22" s="1"/>
  <c r="E14" i="3"/>
  <c r="H7" i="15"/>
  <c r="I7" i="15" s="1"/>
  <c r="D18" i="9"/>
  <c r="D19" i="9" s="1"/>
  <c r="G17" i="1"/>
  <c r="K17" i="1"/>
  <c r="U14" i="12"/>
  <c r="W19" i="12"/>
  <c r="W20" i="12" s="1"/>
  <c r="I5" i="1"/>
  <c r="J5" i="1"/>
  <c r="J12" i="1" s="1"/>
  <c r="N19" i="12"/>
  <c r="N20" i="12" s="1"/>
  <c r="K14" i="13"/>
  <c r="H7" i="1"/>
  <c r="H12" i="1" s="1"/>
  <c r="I7" i="1"/>
  <c r="I17" i="1" s="1"/>
  <c r="J22" i="1"/>
  <c r="P6" i="12"/>
  <c r="P19" i="12" s="1"/>
  <c r="P20" i="12" s="1"/>
  <c r="K12" i="13"/>
  <c r="H12" i="13"/>
  <c r="Q14" i="12"/>
  <c r="E6" i="12"/>
  <c r="E19" i="12" s="1"/>
  <c r="E20" i="12" s="1"/>
  <c r="D6" i="12"/>
  <c r="K6" i="12"/>
  <c r="K19" i="12" s="1"/>
  <c r="K21" i="12" s="1"/>
  <c r="E22" i="1"/>
  <c r="G9" i="15"/>
  <c r="E8" i="22"/>
  <c r="B13" i="13"/>
  <c r="E7" i="22" s="1"/>
  <c r="D17" i="1"/>
  <c r="B17" i="1"/>
  <c r="C22" i="1"/>
  <c r="D22" i="1"/>
  <c r="E17" i="1"/>
  <c r="F17" i="1"/>
  <c r="G22" i="1"/>
  <c r="K22" i="1"/>
  <c r="C21" i="12"/>
  <c r="O14" i="12"/>
  <c r="X14" i="12"/>
  <c r="H14" i="12"/>
  <c r="O19" i="12"/>
  <c r="O20" i="12" s="1"/>
  <c r="V14" i="12"/>
  <c r="I14" i="12"/>
  <c r="B19" i="12"/>
  <c r="B20" i="12" s="1"/>
  <c r="G21" i="12"/>
  <c r="G20" i="12"/>
  <c r="Y14" i="12"/>
  <c r="P14" i="12"/>
  <c r="N14" i="12"/>
  <c r="G14" i="12"/>
  <c r="O21" i="12"/>
  <c r="C14" i="12"/>
  <c r="J14" i="12"/>
  <c r="E14" i="12"/>
  <c r="R14" i="12"/>
  <c r="D19" i="12"/>
  <c r="D21" i="12" s="1"/>
  <c r="Y19" i="12"/>
  <c r="Y20" i="12" s="1"/>
  <c r="Q19" i="12"/>
  <c r="Q20" i="12" s="1"/>
  <c r="L20" i="12"/>
  <c r="L21" i="12"/>
  <c r="X21" i="12"/>
  <c r="X20" i="12"/>
  <c r="G6" i="9"/>
  <c r="F23" i="3" s="1"/>
  <c r="H15" i="15"/>
  <c r="F14" i="22"/>
  <c r="S21" i="12"/>
  <c r="S20" i="12"/>
  <c r="I20" i="12"/>
  <c r="I21" i="12"/>
  <c r="Y21" i="12"/>
  <c r="H9" i="15"/>
  <c r="I9" i="15" s="1"/>
  <c r="F8" i="22"/>
  <c r="F20" i="12"/>
  <c r="F21" i="12"/>
  <c r="R21" i="12"/>
  <c r="R20" i="12"/>
  <c r="U21" i="12"/>
  <c r="U20" i="12"/>
  <c r="M21" i="12"/>
  <c r="W21" i="12"/>
  <c r="E21" i="12"/>
  <c r="G11" i="9"/>
  <c r="G12" i="9"/>
  <c r="F24" i="3" s="1"/>
  <c r="G13" i="13"/>
  <c r="D12" i="1"/>
  <c r="H17" i="1"/>
  <c r="F22" i="1"/>
  <c r="B4" i="9"/>
  <c r="B5" i="9" s="1"/>
  <c r="E12" i="1"/>
  <c r="B12" i="1"/>
  <c r="C17" i="1"/>
  <c r="B22" i="1"/>
  <c r="L14" i="12"/>
  <c r="B19" i="9"/>
  <c r="K12" i="1"/>
  <c r="G12" i="1"/>
  <c r="C12" i="1"/>
  <c r="G8" i="22" l="1"/>
  <c r="J8" i="22" s="1"/>
  <c r="L8" i="22" s="1"/>
  <c r="N21" i="12"/>
  <c r="G17" i="15"/>
  <c r="G8" i="15"/>
  <c r="G24" i="3"/>
  <c r="B15" i="13"/>
  <c r="E19" i="3" s="1"/>
  <c r="E16" i="22"/>
  <c r="G16" i="22" s="1"/>
  <c r="J16" i="22" s="1"/>
  <c r="L16" i="22" s="1"/>
  <c r="E25" i="3"/>
  <c r="G25" i="3" s="1"/>
  <c r="B18" i="26"/>
  <c r="H6" i="15" s="1"/>
  <c r="I6" i="15" s="1"/>
  <c r="G15" i="13"/>
  <c r="F19" i="3" s="1"/>
  <c r="I17" i="15"/>
  <c r="J17" i="1"/>
  <c r="G18" i="1" s="1"/>
  <c r="F10" i="22" s="1"/>
  <c r="N22" i="12"/>
  <c r="F20" i="22" s="1"/>
  <c r="P21" i="12"/>
  <c r="I22" i="1"/>
  <c r="H22" i="1"/>
  <c r="G25" i="1" s="1"/>
  <c r="F11" i="22" s="1"/>
  <c r="I12" i="1"/>
  <c r="G13" i="1" s="1"/>
  <c r="N15" i="12"/>
  <c r="B15" i="12"/>
  <c r="K20" i="12"/>
  <c r="B18" i="1"/>
  <c r="E10" i="22" s="1"/>
  <c r="N16" i="12"/>
  <c r="F26" i="3" s="1"/>
  <c r="Q21" i="12"/>
  <c r="B21" i="12"/>
  <c r="B23" i="12" s="1"/>
  <c r="E27" i="3" s="1"/>
  <c r="B16" i="12"/>
  <c r="E26" i="3" s="1"/>
  <c r="D20" i="12"/>
  <c r="B22" i="12" s="1"/>
  <c r="G21" i="15" s="1"/>
  <c r="B6" i="9"/>
  <c r="E23" i="3" s="1"/>
  <c r="G23" i="3" s="1"/>
  <c r="E14" i="22"/>
  <c r="G14" i="22" s="1"/>
  <c r="J14" i="22" s="1"/>
  <c r="L14" i="22" s="1"/>
  <c r="G15" i="15"/>
  <c r="F15" i="22"/>
  <c r="G15" i="22" s="1"/>
  <c r="J15" i="22" s="1"/>
  <c r="L15" i="22" s="1"/>
  <c r="H16" i="15"/>
  <c r="I16" i="15" s="1"/>
  <c r="B13" i="1"/>
  <c r="I15" i="15"/>
  <c r="B25" i="1"/>
  <c r="H8" i="15"/>
  <c r="F7" i="22"/>
  <c r="G7" i="22" l="1"/>
  <c r="J7" i="22" s="1"/>
  <c r="L7" i="22" s="1"/>
  <c r="N23" i="12"/>
  <c r="F27" i="3" s="1"/>
  <c r="I8" i="15"/>
  <c r="E13" i="3"/>
  <c r="E15" i="3" s="1"/>
  <c r="B23" i="17" s="1"/>
  <c r="F5" i="22"/>
  <c r="G5" i="22" s="1"/>
  <c r="J5" i="22" s="1"/>
  <c r="L5" i="22" s="1"/>
  <c r="L22" i="22" s="1"/>
  <c r="B30" i="17" s="1"/>
  <c r="G19" i="3"/>
  <c r="H11" i="15"/>
  <c r="H21" i="15"/>
  <c r="I21" i="15" s="1"/>
  <c r="G26" i="1"/>
  <c r="F22" i="3" s="1"/>
  <c r="G19" i="1"/>
  <c r="F21" i="3" s="1"/>
  <c r="F19" i="22"/>
  <c r="H20" i="15"/>
  <c r="G11" i="15"/>
  <c r="B19" i="1"/>
  <c r="E21" i="3" s="1"/>
  <c r="E20" i="22"/>
  <c r="G20" i="22" s="1"/>
  <c r="J20" i="22" s="1"/>
  <c r="L20" i="22" s="1"/>
  <c r="H12" i="15"/>
  <c r="G10" i="22"/>
  <c r="J10" i="22" s="1"/>
  <c r="L10" i="22" s="1"/>
  <c r="E19" i="22"/>
  <c r="G20" i="15"/>
  <c r="G26" i="3"/>
  <c r="E11" i="22"/>
  <c r="G11" i="22" s="1"/>
  <c r="J11" i="22" s="1"/>
  <c r="L11" i="22" s="1"/>
  <c r="G12" i="15"/>
  <c r="B26" i="1"/>
  <c r="E22" i="3" s="1"/>
  <c r="F9" i="22"/>
  <c r="H10" i="15"/>
  <c r="G14" i="1"/>
  <c r="F20" i="3" s="1"/>
  <c r="G27" i="3"/>
  <c r="B14" i="1"/>
  <c r="E20" i="3" s="1"/>
  <c r="G10" i="15"/>
  <c r="E9" i="22"/>
  <c r="I11" i="15"/>
  <c r="C6" i="3" l="1"/>
  <c r="G19" i="22"/>
  <c r="J19" i="22" s="1"/>
  <c r="L19" i="22" s="1"/>
  <c r="G21" i="3"/>
  <c r="G22" i="3"/>
  <c r="I12" i="15"/>
  <c r="I20" i="15"/>
  <c r="G20" i="3"/>
  <c r="I10" i="15"/>
  <c r="G9" i="22"/>
  <c r="J9" i="22" s="1"/>
  <c r="L9" i="22" s="1"/>
  <c r="G28" i="3" l="1"/>
  <c r="C5" i="3" s="1"/>
  <c r="C8" i="3" s="1"/>
  <c r="B22" i="17" l="1"/>
  <c r="B25" i="17" s="1"/>
  <c r="C7" i="3"/>
  <c r="B24" i="1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D4" authorId="0" shapeId="0" xr:uid="{00000000-0006-0000-0300-000001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taxis and Uber are considered as "vehicle type" car</t>
        </r>
      </text>
    </comment>
    <comment ref="P4" authorId="0" shapeId="0" xr:uid="{00000000-0006-0000-0300-000002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taxis and Uber are considered as "vehicle type" car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G44" authorId="0" shapeId="0" xr:uid="{00000000-0006-0000-0400-000005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All operating cost components – including time-dependent and personnel costs – are integrated in the distance related share of operating costs.</t>
        </r>
      </text>
    </comment>
    <comment ref="G45" authorId="0" shapeId="0" xr:uid="{00000000-0006-0000-0400-000006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All operating cost components – including time-dependent and personnel costs – are integrated in the distance related share of operating costs.</t>
        </r>
      </text>
    </comment>
    <comment ref="A47" authorId="0" shapeId="0" xr:uid="{00000000-0006-0000-0400-000007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all prices are without taxes</t>
        </r>
      </text>
    </comment>
    <comment ref="B48" authorId="0" shapeId="0" xr:uid="{00000000-0006-0000-0400-000008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Source for fuel prices: http://www.fuel-prices-europe.info/
Source for excise duties: http://www.eea.europa.eu/data-and-maps/indicators/fuel-prices-and-taxes/assessment-5
reference year: 2016</t>
        </r>
      </text>
    </comment>
    <comment ref="C48" authorId="0" shapeId="0" xr:uid="{00000000-0006-0000-0400-000009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Source for fuel prices: http://www.fuel-prices-europe.info/
Source for excise duties: http://www.eea.europa.eu/data-and-maps/indicators/fuel-prices-and-taxes/assessment-5
reference year: 2016</t>
        </r>
      </text>
    </comment>
    <comment ref="D48" authorId="0" shapeId="0" xr:uid="{00000000-0006-0000-0400-00000A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http://ec.europa.eu/eurostat/statistics-explained/images/3/39/Electricity_-_share_of_taxes_and_levies_paid_by_household_consumers%2C_2015s2_%28%25%29_V2.png
reference year: 2015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A28" authorId="0" shapeId="0" xr:uid="{00000000-0006-0000-0500-000001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calculated average for small vehicles and large vehicles based on different traffic situations and different street categories and speeds 
Source: Schäuble et al. (2015) - own calculation based on HBEFA. </t>
        </r>
      </text>
    </comment>
    <comment ref="B39" authorId="0" shapeId="0" xr:uid="{00000000-0006-0000-0500-000002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research result form German research project iZEUS.
Defualt values are: 0,15 kWh/km (incl. battery charge loss) in summer, and 0,25 kWh/km (incl. battery charge loss) in winter
</t>
        </r>
      </text>
    </comment>
    <comment ref="C39" authorId="0" shapeId="0" xr:uid="{00000000-0006-0000-0500-000003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100 kWh/100 km
Source: http://www.repic.ch/files/4114/3556/1493/SB_report_grutter.pdf</t>
        </r>
      </text>
    </comment>
    <comment ref="D39" authorId="0" shapeId="0" xr:uid="{00000000-0006-0000-0500-000004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Source: empirical result of own calculations</t>
        </r>
      </text>
    </comment>
    <comment ref="E39" authorId="0" shapeId="0" xr:uid="{00000000-0006-0000-0500-000005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Source: http://www.pedelecs.co.uk/forum/threads/energy-consumption-figures.24265/</t>
        </r>
      </text>
    </comment>
    <comment ref="F39" authorId="0" shapeId="0" xr:uid="{00000000-0006-0000-0500-000006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research result form German research project iZEUS.
Defualt values are: 0,33 kWh/km (incl. battery charge loss) in summer, and 0,44 kWh/km (incl. battery charge loss) in winter
</t>
        </r>
      </text>
    </comment>
    <comment ref="C48" authorId="0" shapeId="0" xr:uid="{00000000-0006-0000-0500-000007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HEAT 2014: 100 minutes/week for 52 weeks at a speed of 14 km/h</t>
        </r>
      </text>
    </comment>
    <comment ref="D48" authorId="0" shapeId="0" xr:uid="{00000000-0006-0000-0500-000008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HEAT 2014: 100 minutes/week for 52 weeks at a speed of 14 km/h</t>
        </r>
      </text>
    </comment>
    <comment ref="E48" authorId="0" shapeId="0" xr:uid="{00000000-0006-0000-0500-000009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HEAT 2014: 168 minutes per week for 52 weeks at a speed of 4,8 km/h</t>
        </r>
      </text>
    </comment>
    <comment ref="F48" authorId="0" shapeId="0" xr:uid="{00000000-0006-0000-0500-00000A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HEAT 2014: 168 minutes per week for 52 weeks at a speed of 4,8 km/h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12" authorId="0" shapeId="0" xr:uid="{00000000-0006-0000-0700-000001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travel time costs of driver are considered by the calculation of operating costs</t>
        </r>
      </text>
    </comment>
    <comment ref="F12" authorId="0" shapeId="0" xr:uid="{00000000-0006-0000-0700-000002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travel time costs of driver are considered by the calculation of operating costs</t>
        </r>
      </text>
    </comment>
    <comment ref="H12" authorId="0" shapeId="0" xr:uid="{00000000-0006-0000-0700-000003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travel time costs of driver are considered by the calculation of operating costs</t>
        </r>
      </text>
    </comment>
    <comment ref="K12" authorId="0" shapeId="0" xr:uid="{00000000-0006-0000-0700-000004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travel time costs of driver are considered by the calculation of operating costs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A23" authorId="0" shapeId="0" xr:uid="{00000000-0006-0000-0800-000001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including conventional and e-vehicles
(total motorised travel demand)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D1" authorId="0" shapeId="0" xr:uid="{00000000-0006-0000-1000-000001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source: HEATCO, values updated to 2015 price level with GDP and inflation rate</t>
        </r>
      </text>
    </comment>
    <comment ref="I1" authorId="0" shapeId="0" xr:uid="{00000000-0006-0000-1000-000002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http://ec.europa.eu/eurostat/tgm/table.do?tab=table&amp;init=1&amp;plugin=1&amp;language=en&amp;pcode=tec00118</t>
        </r>
      </text>
    </comment>
    <comment ref="O1" authorId="0" shapeId="0" xr:uid="{00000000-0006-0000-1000-000003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Source for calculation of correction factor: http://ec.europa.eu/eurostat/tgm/table.do?tab=table&amp;init=1&amp;language=de&amp;pcode=tec00120&amp;plugin=1
values transformed as Austria has the reference value of 100 %</t>
        </r>
      </text>
    </comment>
    <comment ref="P1" authorId="0" shapeId="0" xr:uid="{00000000-0006-0000-1000-000004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record date: 02.09.2016</t>
        </r>
      </text>
    </comment>
    <comment ref="Q1" authorId="0" shapeId="0" xr:uid="{00000000-0006-0000-1000-000005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record date: 02.09.2016</t>
        </r>
      </text>
    </comment>
    <comment ref="V1" authorId="0" shapeId="0" xr:uid="{00000000-0006-0000-1000-000006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the original prices included taxes, levies and VAT. These  are already deducted in the provided values.
reference year: 2015</t>
        </r>
      </text>
    </comment>
    <comment ref="R15" authorId="0" shapeId="0" xr:uid="{00000000-0006-0000-1000-000007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57,18% of fuel price is taxes
Source for taxes (referecne year: 2016): 
http://oil.laxdal.org/index.php?language=EN</t>
        </r>
      </text>
    </comment>
    <comment ref="S15" authorId="0" shapeId="0" xr:uid="{00000000-0006-0000-1000-000008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55,74% of fuel price is taxes
Source for taxes: 
http://oil.laxdal.org/index.php?language=EN</t>
        </r>
      </text>
    </comment>
    <comment ref="R31" authorId="0" shapeId="0" xr:uid="{00000000-0006-0000-1000-000009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sum of road use tax and CO2 tax. Source: https://en.wikipedia.org/wiki/Fuel_tax</t>
        </r>
      </text>
    </comment>
    <comment ref="R32" authorId="0" shapeId="0" xr:uid="{00000000-0006-0000-1000-00000A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Source: http://www.ezv.admin.ch/zollinfo_firmen/04020/04256/04263/index.html?lang=en</t>
        </r>
      </text>
    </comment>
    <comment ref="S32" authorId="0" shapeId="0" xr:uid="{00000000-0006-0000-1000-00000B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Source: http://www.ezv.admin.ch/zollinfo_firmen/04020/04256/04263/index.html?lang=en</t>
        </r>
      </text>
    </comment>
    <comment ref="A37" authorId="0" shapeId="0" xr:uid="{00000000-0006-0000-1000-00000C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source: HEATCO, values updated to 2015 price level with GDP growth/capita and inflation rate</t>
        </r>
      </text>
    </comment>
    <comment ref="B39" authorId="0" shapeId="0" xr:uid="{00000000-0006-0000-1000-00000D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reference year: 2008/9
HEATCO/German source</t>
        </r>
      </text>
    </comment>
    <comment ref="D39" authorId="0" shapeId="0" xr:uid="{00000000-0006-0000-1000-00000E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reference year: 2008/9
HEATCO/German source</t>
        </r>
      </text>
    </comment>
    <comment ref="G39" authorId="0" shapeId="0" xr:uid="{00000000-0006-0000-1000-00000F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All operating cost components – including time-dependent and personnel costs – are integrated in the distance related share of operating costs.</t>
        </r>
      </text>
    </comment>
    <comment ref="G40" authorId="0" shapeId="0" xr:uid="{00000000-0006-0000-1000-000010000000}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All operating cost components – including time-dependent and personnel costs – are integrated in the distance related share of operating costs.</t>
        </r>
      </text>
    </comment>
  </commentList>
</comments>
</file>

<file path=xl/sharedStrings.xml><?xml version="1.0" encoding="utf-8"?>
<sst xmlns="http://schemas.openxmlformats.org/spreadsheetml/2006/main" count="850" uniqueCount="487">
  <si>
    <t>Indicator</t>
  </si>
  <si>
    <t>General Information</t>
  </si>
  <si>
    <t>Measure</t>
  </si>
  <si>
    <t>Location</t>
  </si>
  <si>
    <t xml:space="preserve">City </t>
  </si>
  <si>
    <t>Country</t>
  </si>
  <si>
    <t>land consumption</t>
  </si>
  <si>
    <t>diesel</t>
  </si>
  <si>
    <t>petrol</t>
  </si>
  <si>
    <t>environment</t>
  </si>
  <si>
    <t>motorcycle</t>
  </si>
  <si>
    <t>traffic safety</t>
  </si>
  <si>
    <t>travel time related</t>
  </si>
  <si>
    <t>Socio-economic impact assessment of walking and cycling measures</t>
  </si>
  <si>
    <t xml:space="preserve">has received funding from the European Union´s Horizon 2020 research and innovation programme under grant agreement no. 635998 </t>
  </si>
  <si>
    <t>Target System</t>
  </si>
  <si>
    <t xml:space="preserve">Scope </t>
  </si>
  <si>
    <t>Transport mode</t>
  </si>
  <si>
    <r>
      <rPr>
        <b/>
        <sz val="11"/>
        <color theme="8" tint="-0.249977111117893"/>
        <rFont val="Calibri"/>
        <family val="2"/>
        <scheme val="minor"/>
      </rPr>
      <t>costs</t>
    </r>
    <r>
      <rPr>
        <sz val="11"/>
        <color theme="8" tint="-0.249977111117893"/>
        <rFont val="Calibri"/>
        <family val="2"/>
        <scheme val="minor"/>
      </rPr>
      <t xml:space="preserve"> of (new) infrastructure</t>
    </r>
  </si>
  <si>
    <t>X</t>
  </si>
  <si>
    <t>Environment</t>
  </si>
  <si>
    <t xml:space="preserve">GHG emission 
&amp; local air pollution </t>
  </si>
  <si>
    <t>energy consumption</t>
  </si>
  <si>
    <t>Society</t>
  </si>
  <si>
    <t>health</t>
  </si>
  <si>
    <t>increased access</t>
  </si>
  <si>
    <t>social interaction</t>
  </si>
  <si>
    <t>vehicle operating costs</t>
  </si>
  <si>
    <t>(monetary) attractiveness</t>
  </si>
  <si>
    <t>Legend</t>
  </si>
  <si>
    <t>© PTV AG</t>
  </si>
  <si>
    <t>Comment</t>
  </si>
  <si>
    <t>Private Business</t>
  </si>
  <si>
    <t>Public Financing</t>
  </si>
  <si>
    <t>non-motorised transport (walking)</t>
  </si>
  <si>
    <t>public financing</t>
  </si>
  <si>
    <t>Fatality</t>
  </si>
  <si>
    <t>Severe injury</t>
  </si>
  <si>
    <t>Slight injury</t>
  </si>
  <si>
    <t>Austria</t>
  </si>
  <si>
    <t>Belgium</t>
  </si>
  <si>
    <t>Cyprus</t>
  </si>
  <si>
    <t>Czech Republic</t>
  </si>
  <si>
    <t>Denmark</t>
  </si>
  <si>
    <t>Estonia</t>
  </si>
  <si>
    <t>Finland</t>
  </si>
  <si>
    <t>France</t>
  </si>
  <si>
    <t>Germany</t>
  </si>
  <si>
    <t>Greece</t>
  </si>
  <si>
    <t xml:space="preserve">Hungary </t>
  </si>
  <si>
    <t>Ireland</t>
  </si>
  <si>
    <t>Italy</t>
  </si>
  <si>
    <t>Latvia</t>
  </si>
  <si>
    <t>Lithuania</t>
  </si>
  <si>
    <t xml:space="preserve">Luxembourg </t>
  </si>
  <si>
    <t>Malta</t>
  </si>
  <si>
    <t>Netherlands</t>
  </si>
  <si>
    <t>Poland</t>
  </si>
  <si>
    <t>Portugal</t>
  </si>
  <si>
    <t>Slovakia</t>
  </si>
  <si>
    <t>Slovenia</t>
  </si>
  <si>
    <t>Spain</t>
  </si>
  <si>
    <t xml:space="preserve">Sweden </t>
  </si>
  <si>
    <t>United Kingdom</t>
  </si>
  <si>
    <t>Switzerland</t>
  </si>
  <si>
    <t>rate of interest / discount rate in reference year [%]</t>
  </si>
  <si>
    <t>Annuity</t>
  </si>
  <si>
    <t>Life cycle</t>
  </si>
  <si>
    <t>applied measure</t>
  </si>
  <si>
    <t>Sum of Investment Costs per year [EUR/year]</t>
  </si>
  <si>
    <t>Sum of Investment Costs [EUR]</t>
  </si>
  <si>
    <t>Costs</t>
  </si>
  <si>
    <t>Operating &amp; maintenance costs</t>
  </si>
  <si>
    <t>Benefits</t>
  </si>
  <si>
    <t>transport network performance</t>
  </si>
  <si>
    <t>Number</t>
  </si>
  <si>
    <t>C1</t>
  </si>
  <si>
    <t>C2</t>
  </si>
  <si>
    <t>costs of (new) infrastructure</t>
  </si>
  <si>
    <t>Value without measure [EUR/a]</t>
  </si>
  <si>
    <t>Result - Benefit [EUR/a]</t>
  </si>
  <si>
    <t>Result [EUR/a]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</si>
  <si>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</si>
  <si>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</si>
  <si>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</si>
  <si>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</si>
  <si>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</si>
  <si>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</si>
  <si>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</si>
  <si>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</si>
  <si>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</si>
  <si>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Value with measure [EUR/a]</t>
  </si>
  <si>
    <t>Scope</t>
  </si>
  <si>
    <t xml:space="preserve">GHG emission &amp; local air pollution </t>
  </si>
  <si>
    <t>society</t>
  </si>
  <si>
    <t xml:space="preserve">travel time </t>
  </si>
  <si>
    <t>Sum of Benefits</t>
  </si>
  <si>
    <t>WB1</t>
  </si>
  <si>
    <t>WB2</t>
  </si>
  <si>
    <t>Weighting factor</t>
  </si>
  <si>
    <t>cycling, walking</t>
  </si>
  <si>
    <t>Health benefits based on a reduced probability of death for people who cycle/walk  [EUR/year]</t>
  </si>
  <si>
    <t>Sealed surface: total new / deconstructed traffic area</t>
  </si>
  <si>
    <t>Scale</t>
  </si>
  <si>
    <t>Qualitative evaluation of measure compared to case "without implementation of measure"
by linear utility function with endogeneous borders</t>
  </si>
  <si>
    <t>great positive impact</t>
  </si>
  <si>
    <t>positive impact</t>
  </si>
  <si>
    <t>negative impact</t>
  </si>
  <si>
    <t>no relevant benefit</t>
  </si>
  <si>
    <t>great negative impact</t>
  </si>
  <si>
    <t>Total vehicle operating costs over all transport modes per year [EUR/year]</t>
  </si>
  <si>
    <r>
      <t>total direct CO</t>
    </r>
    <r>
      <rPr>
        <b/>
        <vertAlign val="subscript"/>
        <sz val="11"/>
        <color theme="4" tint="-0.499984740745262"/>
        <rFont val="Calibri"/>
        <family val="2"/>
        <scheme val="minor"/>
      </rPr>
      <t>2</t>
    </r>
    <r>
      <rPr>
        <b/>
        <sz val="11"/>
        <color theme="4" tint="-0.499984740745262"/>
        <rFont val="Calibri"/>
        <family val="2"/>
        <scheme val="minor"/>
      </rPr>
      <t xml:space="preserve"> emission costs over all transport modes per year [EUR/year]</t>
    </r>
  </si>
  <si>
    <r>
      <t>total direct NO</t>
    </r>
    <r>
      <rPr>
        <b/>
        <vertAlign val="subscript"/>
        <sz val="11"/>
        <color theme="4" tint="-0.499984740745262"/>
        <rFont val="Calibri"/>
        <family val="2"/>
        <scheme val="minor"/>
      </rPr>
      <t>x</t>
    </r>
    <r>
      <rPr>
        <b/>
        <sz val="11"/>
        <color theme="4" tint="-0.499984740745262"/>
        <rFont val="Calibri"/>
        <family val="2"/>
        <scheme val="minor"/>
      </rPr>
      <t xml:space="preserve"> emission costs over all transport modes per year [EUR/year]</t>
    </r>
  </si>
  <si>
    <t>total direct PM emission costs over all transport modes per year [EUR/year]</t>
  </si>
  <si>
    <t>Population in the city</t>
  </si>
  <si>
    <t>Investment costs</t>
  </si>
  <si>
    <t>total personal costs of fatal accidents over all transport modes per year</t>
  </si>
  <si>
    <t>total personal costs of accidents with injuries over all transport modes per year</t>
  </si>
  <si>
    <t xml:space="preserve">health benefits based on a reduced probability of death for people who cycle/walk </t>
  </si>
  <si>
    <t>private business</t>
  </si>
  <si>
    <t>total vehicle operating costs over all transport modes per year</t>
  </si>
  <si>
    <r>
      <t>total direct CO</t>
    </r>
    <r>
      <rPr>
        <vertAlign val="subscript"/>
        <sz val="11"/>
        <color theme="8" tint="-0.249977111117893"/>
        <rFont val="Calibri"/>
        <family val="2"/>
        <scheme val="minor"/>
      </rPr>
      <t>2</t>
    </r>
    <r>
      <rPr>
        <sz val="11"/>
        <color theme="8" tint="-0.249977111117893"/>
        <rFont val="Calibri"/>
        <family val="2"/>
        <scheme val="minor"/>
      </rPr>
      <t xml:space="preserve"> emission costs over all transport modes per year</t>
    </r>
  </si>
  <si>
    <t>total direct NOx emission costs over all transport modes per year</t>
  </si>
  <si>
    <t>total direct PM emission costs over all transport modes per year</t>
  </si>
  <si>
    <t>Sum of Yearly Capitalised Costs</t>
  </si>
  <si>
    <t>Qualitative evaluation based on  scale below</t>
  </si>
  <si>
    <t>Target system</t>
  </si>
  <si>
    <t>Target System: Environment</t>
  </si>
  <si>
    <t>General Project Description</t>
  </si>
  <si>
    <t>Name of measure</t>
  </si>
  <si>
    <t>Description of measure</t>
  </si>
  <si>
    <t>Reference year 
(measure fully accepted)</t>
  </si>
  <si>
    <t>Life cycle of measure</t>
  </si>
  <si>
    <t>Indicators</t>
  </si>
  <si>
    <t>Traffic Perfor-mance</t>
  </si>
  <si>
    <t>Currency</t>
  </si>
  <si>
    <t>Benefits-Costs [EUR/year]</t>
  </si>
  <si>
    <t>Sum of all Benefits</t>
  </si>
  <si>
    <t>Sum of all Costs</t>
  </si>
  <si>
    <t>Result</t>
  </si>
  <si>
    <t>(Reference year: measure fully accepted)</t>
  </si>
  <si>
    <t>Overall Evaluation of Measure</t>
  </si>
  <si>
    <t>Qualitative Evaluation of Measure Compared to Case "Without Implementation of Measure"</t>
  </si>
  <si>
    <t>Weighted result
(Benefit)</t>
  </si>
  <si>
    <t>Target System: Public Financing</t>
  </si>
  <si>
    <t>Calculation result</t>
  </si>
  <si>
    <t>Target System: Transport Network Performance</t>
  </si>
  <si>
    <t>Target System: Society</t>
  </si>
  <si>
    <t>Target System: Private Business</t>
  </si>
  <si>
    <t>total final fuel/energy consumption costs over all transport modes</t>
  </si>
  <si>
    <t>electricity</t>
  </si>
  <si>
    <t>Reference year: measure fully accepted</t>
  </si>
  <si>
    <t>Indicator: Total travel time</t>
  </si>
  <si>
    <t>Indicator: Final Fuel &amp; Energy consuption</t>
  </si>
  <si>
    <t>Indicator: Health benefits based on a reduced probability of death for people who cycle/walk  [EUR]</t>
  </si>
  <si>
    <t>HGV</t>
  </si>
  <si>
    <t>LCV</t>
  </si>
  <si>
    <t>urban bus</t>
  </si>
  <si>
    <t>(conv.) car - petrol</t>
  </si>
  <si>
    <t>(conv.) car - diesel</t>
  </si>
  <si>
    <t>reference duration of daily walking or cycling activity [minutes/week]</t>
  </si>
  <si>
    <t>duration of daily walking or cycling activity [minutes/day]</t>
  </si>
  <si>
    <t>travel demand - no of cyclists/pedestrians involved [persons)</t>
  </si>
  <si>
    <t>number of days activity with this duration is carried out [no.]</t>
  </si>
  <si>
    <t>relative risk of death (default value for cyclists/pedestrians)</t>
  </si>
  <si>
    <t>Proportion of cycling data attributable to the measure [%]</t>
  </si>
  <si>
    <t>Mortality rate - avg. population [no. of deaths per 100.000 capita] - for cycling</t>
  </si>
  <si>
    <t>Mortality rate - avg. population [no. of deaths per 100.000 capita] - for walking</t>
  </si>
  <si>
    <t>reference year</t>
  </si>
  <si>
    <t>Bulgaria</t>
  </si>
  <si>
    <t>Croatia</t>
  </si>
  <si>
    <t>Iceland</t>
  </si>
  <si>
    <t>Romania</t>
  </si>
  <si>
    <t>public transport (bus, tram)</t>
  </si>
  <si>
    <t>commute short distance (e.g. home-work, home-education)</t>
  </si>
  <si>
    <t>Norway</t>
  </si>
  <si>
    <t>difference in prices 
(cumulated over 2002-2015)</t>
  </si>
  <si>
    <t>value of time - work passenger trips [EUR/pers-h]
applied for private transport (car, cycling, walking)</t>
  </si>
  <si>
    <t>value of time - work passenger trips [EUR/pers-h]
applied for public transport</t>
  </si>
  <si>
    <t>value of time - commute short distance [EUR/pers-h]
applied for private transport (car, cycling, walking)</t>
  </si>
  <si>
    <t>value of time - commute short distance [EUR/pers-h]
applied for public transport</t>
  </si>
  <si>
    <t>value of time - other short distance [EUR/pers-h]
applied for private transport (car, cycling, walking)</t>
  </si>
  <si>
    <t>value of time - other short distance [EUR/pers-h]
applied for public transport</t>
  </si>
  <si>
    <t>value of time - commercial goods transport (road) [EUR/t-h]</t>
  </si>
  <si>
    <t>work passenger trip</t>
  </si>
  <si>
    <t>other short distance (e.g. leisure, shopping)</t>
  </si>
  <si>
    <t>Public Transport (e.g. bus, tram)</t>
  </si>
  <si>
    <t>Non-motorised Private Transport
Cycling</t>
  </si>
  <si>
    <t>distribution of trip purpose</t>
  </si>
  <si>
    <t>Trip Purpose</t>
  </si>
  <si>
    <t>Motorised Private Transport
(cars &amp; motorcycle)</t>
  </si>
  <si>
    <t>Commercial Transport - Urban Freight</t>
  </si>
  <si>
    <t>Value of Time per trip purpose [EUR/pers-h]</t>
  </si>
  <si>
    <t>total vehicle mileage per transport mode per assessment period in the network [veh-km/asssessment period]</t>
  </si>
  <si>
    <t>peak-h</t>
  </si>
  <si>
    <t>Total vehicle operating costs per transport modes per assessment period [EUR/assessment period]</t>
  </si>
  <si>
    <t>Total vehicle operating costs over all transport modes per assessment period [EUR/assessment period]</t>
  </si>
  <si>
    <t>total travel time per transport mode per assessment period in the network [veh-h/asssessment period]</t>
  </si>
  <si>
    <t>personnel costs [EUR/veh-h]</t>
  </si>
  <si>
    <t>distance related share of operating costs [EUR/veh-km]</t>
  </si>
  <si>
    <t>time dependent share of operating costs [EUR/veh-h]</t>
  </si>
  <si>
    <t>difference in prices 
(cumulated over 2009-2015)</t>
  </si>
  <si>
    <t>motorised transport (car&amp;LCV&amp;HGV)</t>
  </si>
  <si>
    <t>public transport (bus)</t>
  </si>
  <si>
    <t>non-motorised transport (cycle, motorcycle, moped)</t>
  </si>
  <si>
    <t>non-motorised transport (pedestrian)</t>
  </si>
  <si>
    <t>Diesel (incl. taxes) [EUR/l]</t>
  </si>
  <si>
    <t>road fuel excise duties - unleaded petrol [EUR/l]</t>
  </si>
  <si>
    <t>road fuel excise duties - diesel [EUR/l]</t>
  </si>
  <si>
    <t>net fuel costs - unleaded petrol (without taxes) [EUR/l]</t>
  </si>
  <si>
    <t>net fuel costs - diesel (without taxes) [EUR/l]</t>
  </si>
  <si>
    <t>net electricity prices (without taxes, levies and VAT [EUR/kWh]</t>
  </si>
  <si>
    <t>Unleaded 95 (incl. taxes) [EUR/l]</t>
  </si>
  <si>
    <t>MT</t>
  </si>
  <si>
    <t>NMT</t>
  </si>
  <si>
    <t>vehicle mileage per transport mode in the assessment period under free flow conditions [veh-km]</t>
  </si>
  <si>
    <t>vehicle mileage per transport mode in the assessment period in heavy traffic [veh-km]</t>
  </si>
  <si>
    <t>vehicle mileage per transport mode in the assessment period  under staurated conditions [veh-km]</t>
  </si>
  <si>
    <t>vehicle mileage per transport mode in the assessment period by stop-and-go [veh-km]</t>
  </si>
  <si>
    <t>fuel/electricity price per country (without taxes)  [EUR/l];  [EUR/kWh]</t>
  </si>
  <si>
    <r>
      <t>non-motorised transport (cycling</t>
    </r>
    <r>
      <rPr>
        <sz val="11"/>
        <color theme="0"/>
        <rFont val="Calibri"/>
        <family val="2"/>
        <scheme val="minor"/>
      </rPr>
      <t>)</t>
    </r>
  </si>
  <si>
    <t>Costs of fatal accidents [EUR/capita]</t>
  </si>
  <si>
    <t>Costs of severe injuries [EUR/capita]</t>
  </si>
  <si>
    <t>Costs of slight injuries [EUR/capita]</t>
  </si>
  <si>
    <t>non-motorised transport (cycling)</t>
  </si>
  <si>
    <t>costs of fatal accidents (substitute to value of statistical life) [EUR/capita]</t>
  </si>
  <si>
    <t>Mortality rate - avg. population [no. of deaths per 100.000 capita]</t>
  </si>
  <si>
    <t>Case A: without implementation of measure</t>
  </si>
  <si>
    <t>Case B: with implementation of measure</t>
  </si>
  <si>
    <t>Value of Time for transp. goods [EUR/ton-h]</t>
  </si>
  <si>
    <t>Value of Time (weighted average) [EUR/pers-h; EUR/ton-h]</t>
  </si>
  <si>
    <t>Motorised private transport
(conv. car)</t>
  </si>
  <si>
    <t>Motorised private transport
(e-car)</t>
  </si>
  <si>
    <t>Non-motorised Private Transport (Cycling)</t>
  </si>
  <si>
    <t>Non-motorised Private Transport
(Walking)</t>
  </si>
  <si>
    <t>Public Transport (conv.bus)</t>
  </si>
  <si>
    <t>Public Transport (e-bus)</t>
  </si>
  <si>
    <t>Public Transport (tram)</t>
  </si>
  <si>
    <t>Non-motorised Private Transport (Walking)</t>
  </si>
  <si>
    <t>Variable</t>
  </si>
  <si>
    <t>total actual travel time in the assessment period (peak hour or day) per transport mode [veh-h; pers-h]</t>
  </si>
  <si>
    <t>total actual travel time in the assessment period (peak hour or day) [ton-h]</t>
  </si>
  <si>
    <t>Motorised commercial transport (conv.LCV)</t>
  </si>
  <si>
    <t>Motorised commercial transport (e-LCV)</t>
  </si>
  <si>
    <t>vehicle mileage per transport mode in the assessment period under staurated conditions [veh-km]</t>
  </si>
  <si>
    <t>Motorised commercial transport (conv.HGV)</t>
  </si>
  <si>
    <t>Motorised private transport (motorcycle )</t>
  </si>
  <si>
    <t>Motorised private transport (e-car)</t>
  </si>
  <si>
    <t>Motorised private transport (motorcycle)</t>
  </si>
  <si>
    <r>
      <t>direct warm CO</t>
    </r>
    <r>
      <rPr>
        <vertAlign val="subscript"/>
        <sz val="11"/>
        <color theme="4" tint="-0.499984740745262"/>
        <rFont val="Calibri"/>
        <family val="2"/>
        <scheme val="minor"/>
      </rPr>
      <t>2</t>
    </r>
    <r>
      <rPr>
        <sz val="11"/>
        <color theme="4" tint="-0.499984740745262"/>
        <rFont val="Calibri"/>
        <family val="2"/>
        <scheme val="minor"/>
      </rPr>
      <t xml:space="preserve"> emission per transport mode in the assessment period [t/assessment period]</t>
    </r>
  </si>
  <si>
    <r>
      <t>direct warm NO</t>
    </r>
    <r>
      <rPr>
        <vertAlign val="subscript"/>
        <sz val="11"/>
        <color theme="4" tint="-0.499984740745262"/>
        <rFont val="Calibri"/>
        <family val="2"/>
        <scheme val="minor"/>
      </rPr>
      <t>x</t>
    </r>
    <r>
      <rPr>
        <sz val="11"/>
        <color theme="4" tint="-0.499984740745262"/>
        <rFont val="Calibri"/>
        <family val="2"/>
        <scheme val="minor"/>
      </rPr>
      <t xml:space="preserve"> emission per transport mode in the assessment period [t/assessment period]</t>
    </r>
  </si>
  <si>
    <r>
      <t>direct warm PM</t>
    </r>
    <r>
      <rPr>
        <sz val="11"/>
        <color theme="4" tint="-0.499984740745262"/>
        <rFont val="Calibri"/>
        <family val="2"/>
        <scheme val="minor"/>
      </rPr>
      <t xml:space="preserve"> emission per transport mode in the assessment period [t/assessment period]</t>
    </r>
  </si>
  <si>
    <t>additional PM due to abrasion and suspension per transport mode in the assessment period [t/assessment period]</t>
  </si>
  <si>
    <t>Motorised commercial transport (LCV,HGV)</t>
  </si>
  <si>
    <t>vehicle mileage per transport mode in the assessment period [veh-km]</t>
  </si>
  <si>
    <t>Non-motorised Private Transport (cycling)</t>
  </si>
  <si>
    <t>Non-motorised Private Transport (walking)</t>
  </si>
  <si>
    <t>Motorised private transport
(car, motorcycle)</t>
  </si>
  <si>
    <t>Indicator: Vehicle operating costs</t>
  </si>
  <si>
    <t>Adjustment factor - Austria - your country</t>
  </si>
  <si>
    <t>Description</t>
  </si>
  <si>
    <t>Vehicle operating costs</t>
  </si>
  <si>
    <t>share of engine type (petrol-diesel)</t>
  </si>
  <si>
    <t>Non-motorised Private Transport (pedelec)</t>
  </si>
  <si>
    <t>Non-motorised Private Transport
(walking)</t>
  </si>
  <si>
    <t>motorised private transport (car, motorcycle)</t>
  </si>
  <si>
    <t>total final energy consumption costs over all transport modes per year [EUR/year]</t>
  </si>
  <si>
    <t>passenger car</t>
  </si>
  <si>
    <t>Free flow</t>
  </si>
  <si>
    <t>Heavy</t>
  </si>
  <si>
    <t>Saturated</t>
  </si>
  <si>
    <t>Stop+go</t>
  </si>
  <si>
    <t>Average warm emission factor (g/km)</t>
  </si>
  <si>
    <r>
      <t>Indicator: Direct CO</t>
    </r>
    <r>
      <rPr>
        <b/>
        <vertAlign val="subscript"/>
        <sz val="12"/>
        <color theme="0"/>
        <rFont val="Calibri"/>
        <family val="2"/>
        <scheme val="minor"/>
      </rPr>
      <t>2</t>
    </r>
    <r>
      <rPr>
        <b/>
        <sz val="12"/>
        <color theme="0"/>
        <rFont val="Calibri"/>
        <family val="2"/>
        <scheme val="minor"/>
      </rPr>
      <t xml:space="preserve"> Emission</t>
    </r>
  </si>
  <si>
    <r>
      <t>Indicator: Direct NO</t>
    </r>
    <r>
      <rPr>
        <b/>
        <vertAlign val="subscript"/>
        <sz val="12"/>
        <color theme="0"/>
        <rFont val="Calibri"/>
        <family val="2"/>
        <scheme val="minor"/>
      </rPr>
      <t>x</t>
    </r>
    <r>
      <rPr>
        <b/>
        <sz val="12"/>
        <color theme="0"/>
        <rFont val="Calibri"/>
        <family val="2"/>
        <scheme val="minor"/>
      </rPr>
      <t xml:space="preserve"> Emission</t>
    </r>
  </si>
  <si>
    <t>Indicator: Direct Emissions</t>
  </si>
  <si>
    <r>
      <t>NO</t>
    </r>
    <r>
      <rPr>
        <b/>
        <vertAlign val="subscript"/>
        <sz val="11"/>
        <color theme="0"/>
        <rFont val="Calibri"/>
        <family val="2"/>
        <scheme val="minor"/>
      </rPr>
      <t>x</t>
    </r>
  </si>
  <si>
    <r>
      <t>CO</t>
    </r>
    <r>
      <rPr>
        <vertAlign val="subscript"/>
        <sz val="11"/>
        <color theme="0"/>
        <rFont val="Calibri"/>
        <family val="2"/>
        <scheme val="minor"/>
      </rPr>
      <t>2</t>
    </r>
  </si>
  <si>
    <t>Cost of emissions [EUR/t]</t>
  </si>
  <si>
    <t>noise pollution</t>
  </si>
  <si>
    <r>
      <rPr>
        <b/>
        <sz val="11"/>
        <color theme="8" tint="-0.249977111117893"/>
        <rFont val="Calibri"/>
        <family val="2"/>
        <scheme val="minor"/>
      </rPr>
      <t>operating &amp; maintenance costs [</t>
    </r>
    <r>
      <rPr>
        <sz val="11"/>
        <color theme="8" tint="-0.249977111117893"/>
        <rFont val="Calibri"/>
        <family val="2"/>
        <scheme val="minor"/>
      </rPr>
      <t>EUR/year]</t>
    </r>
  </si>
  <si>
    <r>
      <rPr>
        <b/>
        <sz val="11"/>
        <color theme="8" tint="-0.249977111117893"/>
        <rFont val="Calibri"/>
        <family val="2"/>
        <scheme val="minor"/>
      </rPr>
      <t>investment costs [</t>
    </r>
    <r>
      <rPr>
        <sz val="11"/>
        <color theme="8" tint="-0.249977111117893"/>
        <rFont val="Calibri"/>
        <family val="2"/>
        <scheme val="minor"/>
      </rPr>
      <t>EUR/year - annuity]</t>
    </r>
  </si>
  <si>
    <t xml:space="preserve">sealed surface: total new / deconstructed traffic area [-] </t>
  </si>
  <si>
    <r>
      <t>separation effect</t>
    </r>
    <r>
      <rPr>
        <sz val="11"/>
        <color theme="8" tint="-0.249977111117893"/>
        <rFont val="Calibri"/>
        <family val="2"/>
        <scheme val="minor"/>
      </rPr>
      <t xml:space="preserve"> [-]</t>
    </r>
  </si>
  <si>
    <t>Value without measure [per annum]</t>
  </si>
  <si>
    <t>Value with measure [per annum]</t>
  </si>
  <si>
    <t>Difference</t>
  </si>
  <si>
    <t>factor for difference in prices 
(cumulated over 2008-2015)</t>
  </si>
  <si>
    <t>e-car</t>
  </si>
  <si>
    <t>e-bus</t>
  </si>
  <si>
    <t xml:space="preserve"> e-LCV</t>
  </si>
  <si>
    <t>transport mode</t>
  </si>
  <si>
    <t>mean electricity consumption (kWh/km)</t>
  </si>
  <si>
    <t>pedelec</t>
  </si>
  <si>
    <r>
      <t>PM</t>
    </r>
    <r>
      <rPr>
        <vertAlign val="subscript"/>
        <sz val="12"/>
        <rFont val="Calibri"/>
        <family val="2"/>
      </rPr>
      <t>2,5</t>
    </r>
    <r>
      <rPr>
        <sz val="12"/>
        <rFont val="Calibri"/>
        <family val="2"/>
      </rPr>
      <t xml:space="preserve"> Metropolitan</t>
    </r>
  </si>
  <si>
    <r>
      <t>NO</t>
    </r>
    <r>
      <rPr>
        <vertAlign val="subscript"/>
        <sz val="12"/>
        <rFont val="Calibri"/>
        <family val="2"/>
      </rPr>
      <t>x</t>
    </r>
  </si>
  <si>
    <r>
      <t>CO</t>
    </r>
    <r>
      <rPr>
        <vertAlign val="subscript"/>
        <sz val="12"/>
        <rFont val="Calibri"/>
        <family val="2"/>
      </rPr>
      <t>2</t>
    </r>
  </si>
  <si>
    <r>
      <t>PM</t>
    </r>
    <r>
      <rPr>
        <vertAlign val="subscript"/>
        <sz val="12"/>
        <rFont val="Calibri"/>
        <family val="2"/>
      </rPr>
      <t>10</t>
    </r>
    <r>
      <rPr>
        <sz val="12"/>
        <rFont val="Calibri"/>
        <family val="2"/>
      </rPr>
      <t xml:space="preserve"> Metropolitan</t>
    </r>
  </si>
  <si>
    <t>tram</t>
  </si>
  <si>
    <t>abrasion &amp; resuspension</t>
  </si>
  <si>
    <r>
      <rPr>
        <b/>
        <sz val="11"/>
        <color theme="8" tint="-0.249977111117893"/>
        <rFont val="Calibri"/>
        <family val="2"/>
        <scheme val="minor"/>
      </rPr>
      <t>total travel time</t>
    </r>
    <r>
      <rPr>
        <sz val="11"/>
        <color theme="8" tint="-0.249977111117893"/>
        <rFont val="Calibri"/>
        <family val="2"/>
        <scheme val="minor"/>
      </rPr>
      <t xml:space="preserve"> [person-h/year]</t>
    </r>
  </si>
  <si>
    <r>
      <t>direct</t>
    </r>
    <r>
      <rPr>
        <b/>
        <sz val="11"/>
        <color theme="8" tint="-0.249977111117893"/>
        <rFont val="Calibri"/>
        <family val="2"/>
        <scheme val="minor"/>
      </rPr>
      <t xml:space="preserve"> CO</t>
    </r>
    <r>
      <rPr>
        <b/>
        <vertAlign val="subscript"/>
        <sz val="11"/>
        <color theme="8" tint="-0.249977111117893"/>
        <rFont val="Calibri"/>
        <family val="2"/>
        <scheme val="minor"/>
      </rPr>
      <t>2</t>
    </r>
    <r>
      <rPr>
        <b/>
        <sz val="11"/>
        <color theme="8" tint="-0.249977111117893"/>
        <rFont val="Calibri"/>
        <family val="2"/>
        <scheme val="minor"/>
      </rPr>
      <t xml:space="preserve"> emission</t>
    </r>
    <r>
      <rPr>
        <sz val="11"/>
        <color theme="8" tint="-0.249977111117893"/>
        <rFont val="Calibri"/>
        <family val="2"/>
        <scheme val="minor"/>
      </rPr>
      <t xml:space="preserve"> [t/year] </t>
    </r>
  </si>
  <si>
    <r>
      <t xml:space="preserve">direct </t>
    </r>
    <r>
      <rPr>
        <b/>
        <sz val="11"/>
        <color theme="8" tint="-0.249977111117893"/>
        <rFont val="Calibri"/>
        <family val="2"/>
        <scheme val="minor"/>
      </rPr>
      <t>NO</t>
    </r>
    <r>
      <rPr>
        <b/>
        <vertAlign val="subscript"/>
        <sz val="11"/>
        <color theme="8" tint="-0.249977111117893"/>
        <rFont val="Calibri"/>
        <family val="2"/>
        <scheme val="minor"/>
      </rPr>
      <t xml:space="preserve">x </t>
    </r>
    <r>
      <rPr>
        <b/>
        <sz val="11"/>
        <color theme="8" tint="-0.249977111117893"/>
        <rFont val="Calibri"/>
        <family val="2"/>
        <scheme val="minor"/>
      </rPr>
      <t>emission</t>
    </r>
    <r>
      <rPr>
        <vertAlign val="subscript"/>
        <sz val="11"/>
        <color theme="8" tint="-0.249977111117893"/>
        <rFont val="Calibri"/>
        <family val="2"/>
        <scheme val="minor"/>
      </rPr>
      <t xml:space="preserve"> </t>
    </r>
    <r>
      <rPr>
        <sz val="11"/>
        <color theme="8" tint="-0.249977111117893"/>
        <rFont val="Calibri"/>
        <family val="2"/>
        <scheme val="minor"/>
      </rPr>
      <t>[t/year]</t>
    </r>
  </si>
  <si>
    <r>
      <t xml:space="preserve">direct </t>
    </r>
    <r>
      <rPr>
        <b/>
        <sz val="11"/>
        <color theme="8" tint="-0.249977111117893"/>
        <rFont val="Calibri"/>
        <family val="2"/>
        <scheme val="minor"/>
      </rPr>
      <t>PM</t>
    </r>
    <r>
      <rPr>
        <b/>
        <vertAlign val="subscript"/>
        <sz val="11"/>
        <color theme="8" tint="-0.249977111117893"/>
        <rFont val="Calibri"/>
        <family val="2"/>
        <scheme val="minor"/>
      </rPr>
      <t xml:space="preserve">  </t>
    </r>
    <r>
      <rPr>
        <b/>
        <sz val="11"/>
        <color theme="8" tint="-0.249977111117893"/>
        <rFont val="Calibri"/>
        <family val="2"/>
        <scheme val="minor"/>
      </rPr>
      <t>emission</t>
    </r>
    <r>
      <rPr>
        <sz val="11"/>
        <color theme="8" tint="-0.249977111117893"/>
        <rFont val="Calibri"/>
        <family val="2"/>
        <scheme val="minor"/>
      </rPr>
      <t xml:space="preserve"> [t/year]</t>
    </r>
  </si>
  <si>
    <r>
      <t xml:space="preserve">number of </t>
    </r>
    <r>
      <rPr>
        <b/>
        <sz val="11"/>
        <color theme="8" tint="-0.249977111117893"/>
        <rFont val="Calibri"/>
        <family val="2"/>
        <scheme val="minor"/>
      </rPr>
      <t>persons killed</t>
    </r>
    <r>
      <rPr>
        <sz val="11"/>
        <color theme="8" tint="-0.249977111117893"/>
        <rFont val="Calibri"/>
        <family val="2"/>
        <scheme val="minor"/>
      </rPr>
      <t xml:space="preserve"> [no./year]</t>
    </r>
  </si>
  <si>
    <r>
      <rPr>
        <b/>
        <sz val="11"/>
        <color theme="8" tint="-0.249977111117893"/>
        <rFont val="Calibri"/>
        <family val="2"/>
        <scheme val="minor"/>
      </rPr>
      <t xml:space="preserve">health benefits </t>
    </r>
    <r>
      <rPr>
        <sz val="11"/>
        <color theme="8" tint="-0.249977111117893"/>
        <rFont val="Calibri"/>
        <family val="2"/>
        <scheme val="minor"/>
      </rPr>
      <t>based on a reduced probability of death for people who cycle/walk [no./year]</t>
    </r>
  </si>
  <si>
    <r>
      <t>number of (seriously &amp; slightly)</t>
    </r>
    <r>
      <rPr>
        <b/>
        <sz val="11"/>
        <color theme="8" tint="-0.249977111117893"/>
        <rFont val="Calibri"/>
        <family val="2"/>
        <scheme val="minor"/>
      </rPr>
      <t xml:space="preserve"> injured persons</t>
    </r>
    <r>
      <rPr>
        <sz val="11"/>
        <color theme="8" tint="-0.249977111117893"/>
        <rFont val="Calibri"/>
        <family val="2"/>
        <scheme val="minor"/>
      </rPr>
      <t xml:space="preserve">  [no./year]</t>
    </r>
  </si>
  <si>
    <r>
      <t>final</t>
    </r>
    <r>
      <rPr>
        <b/>
        <sz val="11"/>
        <color theme="8" tint="-0.249977111117893"/>
        <rFont val="Calibri"/>
        <family val="2"/>
        <scheme val="minor"/>
      </rPr>
      <t xml:space="preserve"> energy consumption</t>
    </r>
    <r>
      <rPr>
        <sz val="11"/>
        <color theme="8" tint="-0.249977111117893"/>
        <rFont val="Calibri"/>
        <family val="2"/>
        <scheme val="minor"/>
      </rPr>
      <t xml:space="preserve">  [t/year]</t>
    </r>
  </si>
  <si>
    <r>
      <rPr>
        <b/>
        <sz val="11"/>
        <color theme="8" tint="-0.249977111117893"/>
        <rFont val="Calibri"/>
        <family val="2"/>
        <scheme val="minor"/>
      </rPr>
      <t>vehicle operating costs</t>
    </r>
    <r>
      <rPr>
        <sz val="11"/>
        <color theme="8" tint="-0.249977111117893"/>
        <rFont val="Calibri"/>
        <family val="2"/>
        <scheme val="minor"/>
      </rPr>
      <t xml:space="preserve"> [EUR/year]</t>
    </r>
  </si>
  <si>
    <t>extrapolation factor assessment period to day</t>
  </si>
  <si>
    <t>PM</t>
  </si>
  <si>
    <t>Mean final fuel consumption factor (g/km)</t>
  </si>
  <si>
    <t>Indicator: Final Fuel Consumption</t>
  </si>
  <si>
    <r>
      <t>PM</t>
    </r>
    <r>
      <rPr>
        <sz val="11"/>
        <color theme="1"/>
        <rFont val="Calibri"/>
        <family val="2"/>
        <scheme val="minor"/>
      </rPr>
      <t xml:space="preserve"> abrasion&amp;resuspension (g/km)</t>
    </r>
  </si>
  <si>
    <t>Indicator: Final Electricity Consumption</t>
  </si>
  <si>
    <t>Motorised private transport (conv. car)</t>
  </si>
  <si>
    <t>WB4</t>
  </si>
  <si>
    <t>WB5</t>
  </si>
  <si>
    <t>WB6</t>
  </si>
  <si>
    <t>WB7</t>
  </si>
  <si>
    <t>WB8</t>
  </si>
  <si>
    <t>WB9</t>
  </si>
  <si>
    <t>WB10</t>
  </si>
  <si>
    <t>WB11</t>
  </si>
  <si>
    <t>WB12</t>
  </si>
  <si>
    <t>WB13</t>
  </si>
  <si>
    <r>
      <rPr>
        <b/>
        <sz val="11"/>
        <color theme="8" tint="-0.249977111117893"/>
        <rFont val="Calibri"/>
        <family val="2"/>
        <scheme val="minor"/>
      </rPr>
      <t>accessibility</t>
    </r>
    <r>
      <rPr>
        <sz val="11"/>
        <color theme="8" tint="-0.249977111117893"/>
        <rFont val="Calibri"/>
        <family val="2"/>
        <scheme val="minor"/>
      </rPr>
      <t xml:space="preserve"> - increased access of non-motorized residents'  to amenities (e.g. jobs)</t>
    </r>
  </si>
  <si>
    <t>Q1</t>
  </si>
  <si>
    <t>Q2</t>
  </si>
  <si>
    <t>Q3</t>
  </si>
  <si>
    <t>WB14</t>
  </si>
  <si>
    <t>WB15</t>
  </si>
  <si>
    <t>WB16</t>
  </si>
  <si>
    <t>Cost-Benefit Analysis of a Cycling or Walking Measure</t>
  </si>
  <si>
    <t>Weighted Benefit Analysis of a Cycling or Walking Measure</t>
  </si>
  <si>
    <t>Sum of Benefits [Utility]</t>
  </si>
  <si>
    <t>Weighted result 
(Benefit)</t>
  </si>
  <si>
    <t>Separation effect</t>
  </si>
  <si>
    <t xml:space="preserve">total travel time over all transport modes per year [pers-h/year] </t>
  </si>
  <si>
    <r>
      <t>total direct</t>
    </r>
    <r>
      <rPr>
        <b/>
        <sz val="11"/>
        <color theme="8" tint="-0.249977111117893"/>
        <rFont val="Calibri"/>
        <family val="2"/>
        <scheme val="minor"/>
      </rPr>
      <t xml:space="preserve"> CO</t>
    </r>
    <r>
      <rPr>
        <b/>
        <vertAlign val="subscript"/>
        <sz val="11"/>
        <color theme="8" tint="-0.249977111117893"/>
        <rFont val="Calibri"/>
        <family val="2"/>
        <scheme val="minor"/>
      </rPr>
      <t>2</t>
    </r>
    <r>
      <rPr>
        <b/>
        <sz val="11"/>
        <color theme="8" tint="-0.249977111117893"/>
        <rFont val="Calibri"/>
        <family val="2"/>
        <scheme val="minor"/>
      </rPr>
      <t xml:space="preserve"> emission</t>
    </r>
    <r>
      <rPr>
        <sz val="11"/>
        <color theme="8" tint="-0.249977111117893"/>
        <rFont val="Calibri"/>
        <family val="2"/>
        <scheme val="minor"/>
      </rPr>
      <t xml:space="preserve"> [t/year] </t>
    </r>
  </si>
  <si>
    <r>
      <t xml:space="preserve">total direct </t>
    </r>
    <r>
      <rPr>
        <b/>
        <sz val="11"/>
        <color theme="8" tint="-0.249977111117893"/>
        <rFont val="Calibri"/>
        <family val="2"/>
        <scheme val="minor"/>
      </rPr>
      <t>NO</t>
    </r>
    <r>
      <rPr>
        <b/>
        <vertAlign val="subscript"/>
        <sz val="11"/>
        <color theme="8" tint="-0.249977111117893"/>
        <rFont val="Calibri"/>
        <family val="2"/>
        <scheme val="minor"/>
      </rPr>
      <t xml:space="preserve">x </t>
    </r>
    <r>
      <rPr>
        <b/>
        <sz val="11"/>
        <color theme="8" tint="-0.249977111117893"/>
        <rFont val="Calibri"/>
        <family val="2"/>
        <scheme val="minor"/>
      </rPr>
      <t>emission</t>
    </r>
    <r>
      <rPr>
        <vertAlign val="subscript"/>
        <sz val="11"/>
        <color theme="8" tint="-0.249977111117893"/>
        <rFont val="Calibri"/>
        <family val="2"/>
        <scheme val="minor"/>
      </rPr>
      <t xml:space="preserve"> </t>
    </r>
    <r>
      <rPr>
        <sz val="11"/>
        <color theme="8" tint="-0.249977111117893"/>
        <rFont val="Calibri"/>
        <family val="2"/>
        <scheme val="minor"/>
      </rPr>
      <t>[t/year]</t>
    </r>
  </si>
  <si>
    <r>
      <t xml:space="preserve">total direct </t>
    </r>
    <r>
      <rPr>
        <b/>
        <sz val="11"/>
        <color theme="8" tint="-0.249977111117893"/>
        <rFont val="Calibri"/>
        <family val="2"/>
        <scheme val="minor"/>
      </rPr>
      <t>PM</t>
    </r>
    <r>
      <rPr>
        <b/>
        <vertAlign val="subscript"/>
        <sz val="11"/>
        <color theme="8" tint="-0.249977111117893"/>
        <rFont val="Calibri"/>
        <family val="2"/>
        <scheme val="minor"/>
      </rPr>
      <t xml:space="preserve">  </t>
    </r>
    <r>
      <rPr>
        <b/>
        <sz val="11"/>
        <color theme="8" tint="-0.249977111117893"/>
        <rFont val="Calibri"/>
        <family val="2"/>
        <scheme val="minor"/>
      </rPr>
      <t>emission</t>
    </r>
    <r>
      <rPr>
        <sz val="11"/>
        <color theme="8" tint="-0.249977111117893"/>
        <rFont val="Calibri"/>
        <family val="2"/>
        <scheme val="minor"/>
      </rPr>
      <t xml:space="preserve"> [t/year]</t>
    </r>
  </si>
  <si>
    <r>
      <t>total direct CO</t>
    </r>
    <r>
      <rPr>
        <b/>
        <vertAlign val="subscript"/>
        <sz val="11"/>
        <color theme="4" tint="-0.499984740745262"/>
        <rFont val="Calibri"/>
        <family val="2"/>
        <scheme val="minor"/>
      </rPr>
      <t>2</t>
    </r>
    <r>
      <rPr>
        <b/>
        <sz val="11"/>
        <color theme="4" tint="-0.499984740745262"/>
        <rFont val="Calibri"/>
        <family val="2"/>
        <scheme val="minor"/>
      </rPr>
      <t xml:space="preserve"> emissions over all transport modes per year [t/year]</t>
    </r>
  </si>
  <si>
    <r>
      <t>total direct NO</t>
    </r>
    <r>
      <rPr>
        <b/>
        <vertAlign val="subscript"/>
        <sz val="11"/>
        <color theme="4" tint="-0.499984740745262"/>
        <rFont val="Calibri"/>
        <family val="2"/>
        <scheme val="minor"/>
      </rPr>
      <t>x</t>
    </r>
    <r>
      <rPr>
        <b/>
        <sz val="11"/>
        <color theme="4" tint="-0.499984740745262"/>
        <rFont val="Calibri"/>
        <family val="2"/>
        <scheme val="minor"/>
      </rPr>
      <t xml:space="preserve"> emissions over all transport modes per year [t/year]</t>
    </r>
  </si>
  <si>
    <t>total direct PM emissions over all transport modes per year [t/year]</t>
  </si>
  <si>
    <t>Total number of persons with severe &amp; light injuries over all transport modes per year [no./year]</t>
  </si>
  <si>
    <t>Total personal costs of accidents with injuries over all transport modes per year [EUR/year]</t>
  </si>
  <si>
    <t>Number of deaths per year that are prevented by this change in cycling/walking</t>
  </si>
  <si>
    <t>Reduction in risk of mortality [%]</t>
  </si>
  <si>
    <t>Total number of killed persons over all transport modes per year [no./year]</t>
  </si>
  <si>
    <t>Total costs of fatal accidents over all transport modes per year [EUR/year]</t>
  </si>
  <si>
    <t>total final energy consumption over all transport modes per year [kWh/year]</t>
  </si>
  <si>
    <t>conversion factor [kg/l]; [kWh/kWh]</t>
  </si>
  <si>
    <t>conversion factor [kWh/kg]; [kWh/kWh]</t>
  </si>
  <si>
    <t>Indicator: Final Energy Consumption</t>
  </si>
  <si>
    <r>
      <t>total final</t>
    </r>
    <r>
      <rPr>
        <b/>
        <sz val="11"/>
        <color theme="8" tint="-0.249977111117893"/>
        <rFont val="Calibri"/>
        <family val="2"/>
        <scheme val="minor"/>
      </rPr>
      <t xml:space="preserve"> energy consumption</t>
    </r>
    <r>
      <rPr>
        <sz val="11"/>
        <color theme="8" tint="-0.249977111117893"/>
        <rFont val="Calibri"/>
        <family val="2"/>
        <scheme val="minor"/>
      </rPr>
      <t xml:space="preserve">  [kWh/year]</t>
    </r>
  </si>
  <si>
    <t>total travel time costs over all transport modes per year [EUR/year]</t>
  </si>
  <si>
    <t>3a</t>
  </si>
  <si>
    <t>3b</t>
  </si>
  <si>
    <r>
      <rPr>
        <b/>
        <sz val="11"/>
        <color theme="8" tint="-0.249977111117893"/>
        <rFont val="Calibri"/>
        <family val="2"/>
        <scheme val="minor"/>
      </rPr>
      <t>total travel time</t>
    </r>
    <r>
      <rPr>
        <sz val="11"/>
        <color theme="8" tint="-0.249977111117893"/>
        <rFont val="Calibri"/>
        <family val="2"/>
        <scheme val="minor"/>
      </rPr>
      <t xml:space="preserve"> [ton-h/year]</t>
    </r>
  </si>
  <si>
    <t>Difference [per annum]</t>
  </si>
  <si>
    <t>WB3a</t>
  </si>
  <si>
    <t>WB3b</t>
  </si>
  <si>
    <t>Lower boundary</t>
  </si>
  <si>
    <t xml:space="preserve">Upper boundary </t>
  </si>
  <si>
    <t>Utility points (linear)</t>
  </si>
  <si>
    <r>
      <t>sealed surface:</t>
    </r>
    <r>
      <rPr>
        <b/>
        <sz val="11"/>
        <color theme="8" tint="-0.249977111117893"/>
        <rFont val="Calibri"/>
        <family val="2"/>
        <scheme val="minor"/>
      </rPr>
      <t xml:space="preserve"> total new / deconstructed traffic area</t>
    </r>
    <r>
      <rPr>
        <sz val="11"/>
        <color theme="8" tint="-0.249977111117893"/>
        <rFont val="Calibri"/>
        <family val="2"/>
        <scheme val="minor"/>
      </rPr>
      <t xml:space="preserve"> [-] </t>
    </r>
  </si>
  <si>
    <r>
      <rPr>
        <b/>
        <sz val="11"/>
        <color theme="8" tint="-0.249977111117893"/>
        <rFont val="Calibri"/>
        <family val="2"/>
        <scheme val="minor"/>
      </rPr>
      <t>accessibility</t>
    </r>
    <r>
      <rPr>
        <sz val="11"/>
        <color theme="8" tint="-0.249977111117893"/>
        <rFont val="Calibri"/>
        <family val="2"/>
        <scheme val="minor"/>
      </rPr>
      <t xml:space="preserve"> - increased access of non-motorized residents'  to amenities (e.g. jobs) [-]</t>
    </r>
  </si>
  <si>
    <t>total travel time costs in the assessment period (peak hour or day) per transport mode [EUR/assessment period]</t>
  </si>
  <si>
    <t>final energy consumption per transport mode in the assessment period [kWh/assessment period]</t>
  </si>
  <si>
    <t>final fuel/electricity consumption per transport mode in the assessment period [kg/assessment period, kWh/assessment period]</t>
  </si>
  <si>
    <t>final energy consumption costs per transport mode in the assessment period [EUR/assessment period]</t>
  </si>
  <si>
    <t>correction factor based on purchasing power parity (PPPF)</t>
  </si>
  <si>
    <t>Weighted Benefit Analysis</t>
  </si>
  <si>
    <t>Cost-Benefit Analysis</t>
  </si>
  <si>
    <t>total travel time costs over all transport modes per year</t>
  </si>
  <si>
    <t>Input variable</t>
  </si>
  <si>
    <t>Travel time</t>
  </si>
  <si>
    <t>please enter mode-specific travel times</t>
  </si>
  <si>
    <t>Direct emissions
Final energy consumption</t>
  </si>
  <si>
    <t>share of vehicle mileage in the assessment period under free flow conditions [-]</t>
  </si>
  <si>
    <t>share of vehicle mileage in the assessment period in heavy traffic  [-]</t>
  </si>
  <si>
    <t>share of vehicle mileage in the assessment period under staurated conditions [-]</t>
  </si>
  <si>
    <t>share of vehicle mileage in the assessment period by stop-and-go [-]</t>
  </si>
  <si>
    <t>Calculation approach taken directly from HEAT. Apply your own input values in the given units.</t>
  </si>
  <si>
    <t>Health benefits based on a reduced probability of death for people who cycle/walk</t>
  </si>
  <si>
    <t>extrapolation factor day to year</t>
  </si>
  <si>
    <t>Input required by user (default values may be provided)</t>
  </si>
  <si>
    <r>
      <t>Indicator: Direct CO</t>
    </r>
    <r>
      <rPr>
        <b/>
        <vertAlign val="subscript"/>
        <sz val="14"/>
        <color theme="0"/>
        <rFont val="Calibri"/>
        <family val="2"/>
        <scheme val="minor"/>
      </rPr>
      <t>2</t>
    </r>
    <r>
      <rPr>
        <b/>
        <sz val="14"/>
        <color theme="0"/>
        <rFont val="Calibri"/>
        <family val="2"/>
        <scheme val="minor"/>
      </rPr>
      <t xml:space="preserve"> Emission</t>
    </r>
  </si>
  <si>
    <r>
      <t>Indicator: Direct NO</t>
    </r>
    <r>
      <rPr>
        <b/>
        <vertAlign val="subscript"/>
        <sz val="14"/>
        <color theme="0"/>
        <rFont val="Calibri"/>
        <family val="2"/>
        <scheme val="minor"/>
      </rPr>
      <t>x</t>
    </r>
    <r>
      <rPr>
        <b/>
        <sz val="14"/>
        <color theme="0"/>
        <rFont val="Calibri"/>
        <family val="2"/>
        <scheme val="minor"/>
      </rPr>
      <t xml:space="preserve"> Emission</t>
    </r>
  </si>
  <si>
    <t>Indicator: Direct PM Emission</t>
  </si>
  <si>
    <t>Non-motorised Private Transport
(cycling)</t>
  </si>
  <si>
    <t>Costs of casualties</t>
  </si>
  <si>
    <t>Indicator: number of fatalities / number of injured persons</t>
  </si>
  <si>
    <t xml:space="preserve">Indicator: Health benefits based on a reduced probability of death for people who cycle/walk  </t>
  </si>
  <si>
    <t>Pollutant</t>
  </si>
  <si>
    <t xml:space="preserve">Emission costs per Country [EUR/t] </t>
  </si>
  <si>
    <t>Indicator: Number of (seriously &amp; slightly) injured persons</t>
  </si>
  <si>
    <t>Indicator: Health benefits based on a reduced probability of death for people who cycle/walk</t>
  </si>
  <si>
    <t>Indicator: Final energy consuption</t>
  </si>
  <si>
    <t>Input not requried (automatic calculation by means of formulas)</t>
  </si>
  <si>
    <t>Project FLOW</t>
  </si>
  <si>
    <t>Despite the acknowledged benefits of walking and cycling in terms of health, travel-time reliability and cost effectiveness, motorised traffic is still often the main focus of mainstream urban mobility policy. FLOW sees a need for:
· a clear link between (currently poorly connected) walking and cycling, traffic performance and congestion.
· a paradigm shift wherein non-motorised transport, often seen from a transport policy perspective simply as a nice “extra”, is placed on an equal footing with motorised modes. 
· improving the understanding of walking and cycling measures that have the potential to improve traffic performance and reduce urban congestion.
The mission of the FLOW project is to place non-motorised transport on an equal footing with motorised modes with regard to urban road traffic performance and congestion. It will achieve this by developing a methodology and tools to assess the ability of walking and cycling measures to reduce congestion in European cities.</t>
  </si>
  <si>
    <t>Indicator: Number of persons killed in an accident</t>
  </si>
  <si>
    <t>Number of persons killed in a fatal accident over all transport modes in a year [no./year]</t>
  </si>
  <si>
    <t>Number of persons with severe injuries  over all transport modes in a year [no./year]</t>
  </si>
  <si>
    <t>Number of persons with light injuries  over all transport modes in a year [no./year]</t>
  </si>
  <si>
    <t>Accidents</t>
  </si>
  <si>
    <t xml:space="preserve">Reference year: measure fully accepted </t>
  </si>
  <si>
    <t>Basic input: vehicle mileage in different traffic situations; 
total travel time in the network</t>
  </si>
  <si>
    <t>Public Transport (bus, tram)</t>
  </si>
  <si>
    <t>Estimation has to be made by the user based on own calculation</t>
  </si>
  <si>
    <t xml:space="preserve">The data listed here should be ideally the output of a traffic (either macroscopic or macroscopic) model. In case no traffic simulation model is available, please rely on own traffic counts.  </t>
  </si>
  <si>
    <t>Please enter mode-specific accidents figures. It may be a rough estimation, mean average over tha past 5 years for Case A. For Case B in case of ex-ante assessment: please provide own estimated values. 
If you don´t have mode-specific values, please enter the sum of accident figures over all transport modes.</t>
  </si>
  <si>
    <t>Mean vehicle occupancy ratio</t>
  </si>
  <si>
    <t>A work trip is a trip undertaken on employer’s business. Thus the person making the trip is paid a wage for the duration of the trip (definition taken from World Bank 2005).</t>
  </si>
  <si>
    <t>trip purpose - work passenger trip</t>
  </si>
  <si>
    <t>trip purpose - commute short distance (e.g. home-work, home-education)</t>
  </si>
  <si>
    <t>trip purpose - other short distance (e.g. leisure, shopping)</t>
  </si>
  <si>
    <t>motorised commercial transport (LCV, HGV)</t>
  </si>
  <si>
    <t>total actual travel time in the in the assessment period (peak hour or day) per transport mode [pers-h]</t>
  </si>
  <si>
    <t>vehicle occupancy ratio - work passenger trip [pers/veh]</t>
  </si>
  <si>
    <t>vehicle occupancy ratio - trip purpose - commute short distance (e.g. home-work, home-education) [pers/veh]</t>
  </si>
  <si>
    <t>vehicle occupancy ratio - trip purpose - other short distance (e.g. leisure, shopping) [pers/veh]</t>
  </si>
  <si>
    <t>taxis and Uber are considered as "vehicle type" car</t>
  </si>
  <si>
    <t>Depending on the travel demand available in the transport model, assessment period can either be peak-h or day.</t>
  </si>
  <si>
    <t>assessment period</t>
  </si>
  <si>
    <t xml:space="preserve">It refers to the peak-h factor to be applied during the calculations. If daily model is assumed: value is 1; if peak hour model is assumed: value can vary between 8 and 14.
Per default, same values provided for each transport mode. However, users have the possibility to distinguish amongst transport-mode specific extrapolation factors. 
</t>
  </si>
  <si>
    <t>day</t>
  </si>
  <si>
    <t xml:space="preserve">total travel time of transported goods per year [ton-h/year] </t>
  </si>
  <si>
    <t>Mean extrapolation factor assessment period to day</t>
  </si>
  <si>
    <t>Mean extrapolation factor day to year</t>
  </si>
  <si>
    <t>Basic input</t>
  </si>
  <si>
    <t>total actual travel time in the assessment period (peak hour or day) of transported goods [ton-h]</t>
  </si>
  <si>
    <t>Please enter country-specific distirbutions for diesel and petrol cars.</t>
  </si>
  <si>
    <t>Final Energy Consumption</t>
  </si>
  <si>
    <t>The input data listed below supports the calculations by providing additional factors and figures.</t>
  </si>
  <si>
    <t>Default values taken from HEAT.</t>
  </si>
  <si>
    <t>cycling</t>
  </si>
  <si>
    <t>walking</t>
  </si>
  <si>
    <t>Assessment period</t>
  </si>
  <si>
    <t>Indicator: Investment costs (excluding taxes e.g. VAT)</t>
  </si>
  <si>
    <t>Costs [EUR]</t>
  </si>
  <si>
    <t>Cost components</t>
  </si>
  <si>
    <t>construction &amp; planning (e.g. new cycle path)</t>
  </si>
  <si>
    <t>civil structures (e.g. underpasses, bridges)</t>
  </si>
  <si>
    <t>equipment (e.g. bike parking racks, bollards, signals)</t>
  </si>
  <si>
    <t>rolling stock (e.g. rental bikes)</t>
  </si>
  <si>
    <t>traffic rerouting during construction</t>
  </si>
  <si>
    <t>supplementary actions (e.g. permission process, land expropriation)</t>
  </si>
  <si>
    <t>other (e.g. campaigns)</t>
  </si>
  <si>
    <t>Indicator: Yearly operating &amp; maintenance costs (excluding taxes e.g. VAT)</t>
  </si>
  <si>
    <t>infrastructure</t>
  </si>
  <si>
    <t>equipment</t>
  </si>
  <si>
    <t>rolling stock</t>
  </si>
  <si>
    <t xml:space="preserve">labour </t>
  </si>
  <si>
    <t>other (e.g. communication)</t>
  </si>
  <si>
    <t>Input - monetary values &amp; costs</t>
  </si>
  <si>
    <t>Input - traffic-related data - has to be filled in by user!</t>
  </si>
  <si>
    <t>Conversion factors - no input from user needed!</t>
  </si>
  <si>
    <t xml:space="preserve">The below lists summarize the used monetary values. No input from user needed. </t>
  </si>
  <si>
    <t>Input required by user (transport model/traffic counts or own statistics)</t>
  </si>
  <si>
    <t>Input not requried - calculation does not apply</t>
  </si>
  <si>
    <t>Country to be selected/country specific figure assigned automatically to selected country</t>
  </si>
  <si>
    <t>Indicator: Vehicle Operating Costs</t>
  </si>
  <si>
    <t xml:space="preserve">National values are produced by adjusting the Austrian values with a country-specific purchasing power parity factor (PPPF) </t>
  </si>
  <si>
    <t>This sheet summarizes the conversion factors that are applied during the calculation of the indicators. These values are provided default values, therefore no input needed from the user.</t>
  </si>
  <si>
    <t xml:space="preserve">Annuity factor </t>
  </si>
  <si>
    <t>Costs [EUR/year]</t>
  </si>
  <si>
    <t>Sum of Operating &amp; Maintenance Costs per year [EUR/year]</t>
  </si>
  <si>
    <t>BCR</t>
  </si>
  <si>
    <t>The input data listed below is needed for a calculation of an indicator taken directly from HEAT (© WHO)</t>
  </si>
  <si>
    <t xml:space="preserve">The input data listed below supports the calculation of the indicator "final energy consumption" by estimating the share of engine types for cars. </t>
  </si>
  <si>
    <t>Some input expected from the user for the calculation of infrastructure-related costs. However, all monetary factors are assigned automatically from an embedded European database, once the country on sheet "3. General project description" is entered.</t>
  </si>
  <si>
    <t>Prices have to be given on price level 2015!</t>
  </si>
  <si>
    <t>Benefit-cost ratio - BCR</t>
  </si>
  <si>
    <t>please enter mode-specific specific vehicle mileages</t>
  </si>
  <si>
    <t>Q4</t>
  </si>
  <si>
    <t>motorised transport modes</t>
  </si>
  <si>
    <t>Q5</t>
  </si>
  <si>
    <t>Accessibility - increased access of non-motorized residents  to amenities (e.g. jobs)</t>
  </si>
  <si>
    <r>
      <rPr>
        <b/>
        <sz val="11"/>
        <color theme="8" tint="-0.249977111117893"/>
        <rFont val="Calibri"/>
        <family val="2"/>
        <scheme val="minor"/>
      </rPr>
      <t>Improvement</t>
    </r>
    <r>
      <rPr>
        <sz val="11"/>
        <color theme="8" tint="-0.249977111117893"/>
        <rFont val="Calibri"/>
        <family val="2"/>
        <scheme val="minor"/>
      </rPr>
      <t xml:space="preserve"> in pedestrian and cycling </t>
    </r>
    <r>
      <rPr>
        <b/>
        <sz val="11"/>
        <color theme="8" tint="-0.249977111117893"/>
        <rFont val="Calibri"/>
        <family val="2"/>
        <scheme val="minor"/>
      </rPr>
      <t>environment quality</t>
    </r>
    <r>
      <rPr>
        <sz val="11"/>
        <color theme="8" tint="-0.249977111117893"/>
        <rFont val="Calibri"/>
        <family val="2"/>
        <scheme val="minor"/>
      </rPr>
      <t xml:space="preserve"> [-]</t>
    </r>
  </si>
  <si>
    <t>Improvement in pedestrian and cyclist environment quality</t>
  </si>
  <si>
    <t>Noise pollution</t>
  </si>
  <si>
    <r>
      <rPr>
        <b/>
        <sz val="11"/>
        <color theme="8" tint="-0.249977111117893"/>
        <rFont val="Calibri"/>
        <family val="2"/>
        <scheme val="minor"/>
      </rPr>
      <t>noise pollution</t>
    </r>
    <r>
      <rPr>
        <sz val="11"/>
        <color theme="8" tint="-0.249977111117893"/>
        <rFont val="Calibri"/>
        <family val="2"/>
        <scheme val="minor"/>
      </rPr>
      <t xml:space="preserve"> [-]</t>
    </r>
  </si>
  <si>
    <r>
      <rPr>
        <b/>
        <sz val="11"/>
        <color theme="8" tint="-0.249977111117893"/>
        <rFont val="Calibri"/>
        <family val="2"/>
        <scheme val="minor"/>
      </rPr>
      <t>Improvement</t>
    </r>
    <r>
      <rPr>
        <sz val="11"/>
        <color theme="8" tint="-0.249977111117893"/>
        <rFont val="Calibri"/>
        <family val="2"/>
        <scheme val="minor"/>
      </rPr>
      <t xml:space="preserve"> in pedestrian and cycling </t>
    </r>
    <r>
      <rPr>
        <b/>
        <sz val="11"/>
        <color theme="8" tint="-0.249977111117893"/>
        <rFont val="Calibri"/>
        <family val="2"/>
        <scheme val="minor"/>
      </rPr>
      <t xml:space="preserve">environment quality </t>
    </r>
    <r>
      <rPr>
        <sz val="11"/>
        <color theme="8" tint="-0.249977111117893"/>
        <rFont val="Calibri"/>
        <family val="2"/>
        <scheme val="minor"/>
      </rPr>
      <t>[-]</t>
    </r>
  </si>
  <si>
    <t>Improvement in pedestrian and cycling environment quality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</si>
</sst>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\ _€_-;\-* #,##0.00\ _€_-;_-* &quot;-&quot;??\ _€_-;_-@_-"/>
    <numFmt numFmtId="165" formatCode="0.000"/>
    <numFmt numFmtId="166" formatCode="_-* #,##0\ _€_-;\-* #,##0\ _€_-;_-* &quot;-&quot;??\ _€_-;_-@_-"/>
    <numFmt numFmtId="167" formatCode="0.0"/>
    <numFmt numFmtId="168" formatCode="#,##0.000"/>
    <numFmt numFmtId="169" formatCode="0.0000"/>
    <numFmt numFmtId="170" formatCode="0.0E+00"/>
    <numFmt numFmtId="171" formatCode="0.00000000"/>
    <numFmt numFmtId="172" formatCode="#,##0.0000"/>
    <numFmt numFmtId="173" formatCode="#,##0.0"/>
  </numFmts>
  <fonts count="5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4" tint="-0.499984740745262"/>
      <name val="Calibri"/>
      <family val="2"/>
      <scheme val="minor"/>
    </font>
    <font>
      <vertAlign val="subscript"/>
      <sz val="11"/>
      <color theme="4" tint="-0.499984740745262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1"/>
      <color rgb="FFC00000"/>
      <name val="Calibri"/>
      <family val="2"/>
      <scheme val="minor"/>
    </font>
    <font>
      <sz val="8"/>
      <color theme="1"/>
      <name val="Arial"/>
      <family val="2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8" tint="-0.249977111117893"/>
      <name val="Calibri"/>
      <family val="2"/>
      <scheme val="minor"/>
    </font>
    <font>
      <vertAlign val="subscript"/>
      <sz val="11"/>
      <color theme="8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vertAlign val="subscript"/>
      <sz val="11"/>
      <color theme="0"/>
      <name val="Calibri"/>
      <family val="2"/>
      <scheme val="minor"/>
    </font>
    <font>
      <b/>
      <vertAlign val="subscript"/>
      <sz val="11"/>
      <color theme="4" tint="-0.499984740745262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indexed="8"/>
      <name val="Calibri"/>
      <family val="2"/>
    </font>
    <font>
      <b/>
      <sz val="18"/>
      <color theme="0"/>
      <name val="Calibri"/>
      <family val="2"/>
      <scheme val="minor"/>
    </font>
    <font>
      <b/>
      <sz val="12"/>
      <color theme="0"/>
      <name val="Arial"/>
      <family val="2"/>
    </font>
    <font>
      <i/>
      <sz val="11"/>
      <color theme="8" tint="-0.249977111117893"/>
      <name val="Calibri"/>
      <family val="2"/>
      <scheme val="minor"/>
    </font>
    <font>
      <i/>
      <sz val="12"/>
      <color theme="8" tint="-0.249977111117893"/>
      <name val="Calibri"/>
      <family val="2"/>
      <scheme val="minor"/>
    </font>
    <font>
      <sz val="11"/>
      <color rgb="FF4A8E93"/>
      <name val="Calibri"/>
      <family val="2"/>
      <scheme val="minor"/>
    </font>
    <font>
      <sz val="12"/>
      <color theme="4" tint="-0.499984740745262"/>
      <name val="Calibri"/>
      <family val="2"/>
      <scheme val="minor"/>
    </font>
    <font>
      <i/>
      <sz val="11"/>
      <color theme="4" tint="-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color rgb="FF333333"/>
      <name val="Arial"/>
      <family val="2"/>
    </font>
    <font>
      <b/>
      <sz val="11"/>
      <color rgb="FFFF0000"/>
      <name val="Calibri"/>
      <family val="2"/>
      <scheme val="minor"/>
    </font>
    <font>
      <b/>
      <vertAlign val="subscript"/>
      <sz val="12"/>
      <color theme="0"/>
      <name val="Calibri"/>
      <family val="2"/>
      <scheme val="minor"/>
    </font>
    <font>
      <vertAlign val="subscript"/>
      <sz val="11"/>
      <color theme="0"/>
      <name val="Calibri"/>
      <family val="2"/>
      <scheme val="minor"/>
    </font>
    <font>
      <b/>
      <vertAlign val="subscript"/>
      <sz val="11"/>
      <color theme="8" tint="-0.249977111117893"/>
      <name val="Calibri"/>
      <family val="2"/>
      <scheme val="minor"/>
    </font>
    <font>
      <sz val="11"/>
      <color rgb="FF00B050"/>
      <name val="Calibri"/>
      <family val="2"/>
      <scheme val="minor"/>
    </font>
    <font>
      <sz val="12"/>
      <name val="Calibri"/>
      <family val="2"/>
    </font>
    <font>
      <vertAlign val="subscript"/>
      <sz val="12"/>
      <name val="Calibri"/>
      <family val="2"/>
    </font>
    <font>
      <sz val="10"/>
      <color theme="1"/>
      <name val="Arial"/>
      <family val="2"/>
    </font>
    <font>
      <strike/>
      <sz val="11"/>
      <color theme="1"/>
      <name val="Calibri"/>
      <family val="2"/>
      <scheme val="minor"/>
    </font>
    <font>
      <b/>
      <vertAlign val="subscript"/>
      <sz val="14"/>
      <color theme="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00206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4"/>
      <color rgb="FF4A8E93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2"/>
      <color rgb="FF4A8E9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4A8E93"/>
        <bgColor indexed="64"/>
      </patternFill>
    </fill>
    <fill>
      <patternFill patternType="solid">
        <fgColor rgb="FFA9DBC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CCF2F"/>
        <bgColor indexed="64"/>
      </patternFill>
    </fill>
    <fill>
      <patternFill patternType="solid">
        <fgColor rgb="FFD3EDE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51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rgb="FFA9DBCE"/>
      </left>
      <right style="medium">
        <color theme="0"/>
      </right>
      <top style="medium">
        <color rgb="FFA9DBCE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rgb="FFA9DBCE"/>
      </top>
      <bottom style="medium">
        <color theme="0"/>
      </bottom>
      <diagonal/>
    </border>
    <border>
      <left style="medium">
        <color rgb="FFA9DBCE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rgb="FFA9DBCE"/>
      </right>
      <top style="medium">
        <color theme="0"/>
      </top>
      <bottom style="medium">
        <color theme="0"/>
      </bottom>
      <diagonal/>
    </border>
    <border>
      <left style="medium">
        <color rgb="FFA9DBCE"/>
      </left>
      <right style="medium">
        <color theme="0"/>
      </right>
      <top style="medium">
        <color theme="0"/>
      </top>
      <bottom style="medium">
        <color rgb="FFA9DBCE"/>
      </bottom>
      <diagonal/>
    </border>
    <border>
      <left style="medium">
        <color theme="0"/>
      </left>
      <right style="medium">
        <color rgb="FFA9DBCE"/>
      </right>
      <top style="medium">
        <color theme="0"/>
      </top>
      <bottom style="medium">
        <color rgb="FFA9DBCE"/>
      </bottom>
      <diagonal/>
    </border>
    <border>
      <left style="medium">
        <color rgb="FFA9DBCE"/>
      </left>
      <right/>
      <top/>
      <bottom/>
      <diagonal/>
    </border>
    <border>
      <left style="medium">
        <color rgb="FFA9DBCE"/>
      </left>
      <right/>
      <top style="medium">
        <color rgb="FFA9DBCE"/>
      </top>
      <bottom style="medium">
        <color theme="0"/>
      </bottom>
      <diagonal/>
    </border>
    <border>
      <left/>
      <right/>
      <top style="medium">
        <color rgb="FFA9DBCE"/>
      </top>
      <bottom style="medium">
        <color theme="0"/>
      </bottom>
      <diagonal/>
    </border>
    <border>
      <left/>
      <right style="medium">
        <color rgb="FFA9DBCE"/>
      </right>
      <top style="medium">
        <color rgb="FFA9DBCE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thin">
        <color rgb="FFA9DBCE"/>
      </left>
      <right style="thin">
        <color rgb="FFA9DBCE"/>
      </right>
      <top style="thin">
        <color rgb="FFA9DBCE"/>
      </top>
      <bottom style="thin">
        <color rgb="FFA9DBCE"/>
      </bottom>
      <diagonal/>
    </border>
    <border>
      <left/>
      <right/>
      <top style="medium">
        <color theme="0"/>
      </top>
      <bottom/>
      <diagonal/>
    </border>
    <border>
      <left style="medium">
        <color rgb="FFA9DBCE"/>
      </left>
      <right style="thin">
        <color rgb="FFA9DBCE"/>
      </right>
      <top style="thin">
        <color rgb="FFA9DBCE"/>
      </top>
      <bottom style="thin">
        <color rgb="FFA9DBCE"/>
      </bottom>
      <diagonal/>
    </border>
    <border>
      <left style="thin">
        <color rgb="FFA9DBCE"/>
      </left>
      <right style="medium">
        <color rgb="FFA9DBCE"/>
      </right>
      <top style="thin">
        <color rgb="FFA9DBCE"/>
      </top>
      <bottom style="thin">
        <color rgb="FFA9DBCE"/>
      </bottom>
      <diagonal/>
    </border>
    <border>
      <left style="medium">
        <color theme="0"/>
      </left>
      <right style="medium">
        <color theme="0"/>
      </right>
      <top style="medium">
        <color rgb="FFA9DBCE"/>
      </top>
      <bottom/>
      <diagonal/>
    </border>
    <border>
      <left style="medium">
        <color theme="0"/>
      </left>
      <right style="medium">
        <color rgb="FFA9DBCE"/>
      </right>
      <top style="medium">
        <color rgb="FFA9DBCE"/>
      </top>
      <bottom/>
      <diagonal/>
    </border>
    <border>
      <left style="thin">
        <color rgb="FFA9DBCE"/>
      </left>
      <right style="thin">
        <color rgb="FFA9DBCE"/>
      </right>
      <top style="thin">
        <color rgb="FFA9DBCE"/>
      </top>
      <bottom style="medium">
        <color rgb="FFA9DBCE"/>
      </bottom>
      <diagonal/>
    </border>
    <border>
      <left style="medium">
        <color rgb="FFA9DBCE"/>
      </left>
      <right/>
      <top style="thin">
        <color rgb="FFA9DBCE"/>
      </top>
      <bottom style="medium">
        <color theme="0"/>
      </bottom>
      <diagonal/>
    </border>
    <border>
      <left style="medium">
        <color rgb="FFA9DBCE"/>
      </left>
      <right/>
      <top style="medium">
        <color theme="0"/>
      </top>
      <bottom style="medium">
        <color rgb="FFA9DBCE"/>
      </bottom>
      <diagonal/>
    </border>
    <border>
      <left style="thin">
        <color rgb="FFA9DBCE"/>
      </left>
      <right/>
      <top style="thin">
        <color rgb="FFA9DBCE"/>
      </top>
      <bottom style="thin">
        <color rgb="FFA9DBCE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rgb="FFA9DBCE"/>
      </left>
      <right/>
      <top/>
      <bottom style="medium">
        <color theme="0"/>
      </bottom>
      <diagonal/>
    </border>
    <border>
      <left style="medium">
        <color rgb="FFA9DBCE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rgb="FFA9DBCE"/>
      </bottom>
      <diagonal/>
    </border>
    <border>
      <left/>
      <right style="medium">
        <color theme="0"/>
      </right>
      <top style="medium">
        <color theme="0"/>
      </top>
      <bottom style="medium">
        <color rgb="FFA9DBCE"/>
      </bottom>
      <diagonal/>
    </border>
    <border>
      <left style="medium">
        <color rgb="FFA9DBCE"/>
      </left>
      <right style="medium">
        <color theme="0"/>
      </right>
      <top style="medium">
        <color theme="0"/>
      </top>
      <bottom/>
      <diagonal/>
    </border>
    <border>
      <left style="medium">
        <color rgb="FFA9DBCE"/>
      </left>
      <right style="medium">
        <color theme="0"/>
      </right>
      <top/>
      <bottom/>
      <diagonal/>
    </border>
    <border>
      <left style="medium">
        <color rgb="FFA9DBCE"/>
      </left>
      <right style="medium">
        <color theme="0"/>
      </right>
      <top/>
      <bottom style="medium">
        <color theme="0"/>
      </bottom>
      <diagonal/>
    </border>
    <border>
      <left style="medium">
        <color rgb="FFA9DBCE"/>
      </left>
      <right/>
      <top style="medium">
        <color theme="0"/>
      </top>
      <bottom/>
      <diagonal/>
    </border>
    <border>
      <left/>
      <right style="thin">
        <color rgb="FFA9DBCE"/>
      </right>
      <top style="thin">
        <color rgb="FFA9DBCE"/>
      </top>
      <bottom style="thin">
        <color rgb="FFA9DBCE"/>
      </bottom>
      <diagonal/>
    </border>
    <border>
      <left style="medium">
        <color theme="0"/>
      </left>
      <right style="medium">
        <color rgb="FFC0000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rgb="FFC00000"/>
      </right>
      <top/>
      <bottom/>
      <diagonal/>
    </border>
    <border>
      <left style="medium">
        <color theme="0"/>
      </left>
      <right style="medium">
        <color rgb="FFC00000"/>
      </right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rgb="FFA9DBCE"/>
      </left>
      <right style="medium">
        <color rgb="FFA9DBCE"/>
      </right>
      <top style="medium">
        <color rgb="FFA9DBCE"/>
      </top>
      <bottom style="medium">
        <color rgb="FFA9DBCE"/>
      </bottom>
      <diagonal/>
    </border>
    <border>
      <left style="medium">
        <color rgb="FFA9DBCE"/>
      </left>
      <right/>
      <top style="medium">
        <color rgb="FFA9DBCE"/>
      </top>
      <bottom/>
      <diagonal/>
    </border>
    <border>
      <left/>
      <right style="medium">
        <color rgb="FFA9DBCE"/>
      </right>
      <top style="medium">
        <color rgb="FFA9DBCE"/>
      </top>
      <bottom/>
      <diagonal/>
    </border>
    <border>
      <left/>
      <right style="medium">
        <color rgb="FFC00000"/>
      </right>
      <top style="medium">
        <color theme="0"/>
      </top>
      <bottom style="medium">
        <color theme="0"/>
      </bottom>
      <diagonal/>
    </border>
  </borders>
  <cellStyleXfs count="4">
    <xf numFmtId="0" fontId="0" fillId="0" borderId="0"/>
    <xf numFmtId="0" fontId="22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</cellStyleXfs>
  <cellXfs count="619">
    <xf numFmtId="0" fontId="0" fillId="0" borderId="0" xfId="0"/>
    <xf numFmtId="0" fontId="0" fillId="0" borderId="0" xfId="0" applyFill="1"/>
    <xf numFmtId="0" fontId="15" fillId="2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0" fillId="4" borderId="0" xfId="0" applyFill="1" applyBorder="1"/>
    <xf numFmtId="0" fontId="0" fillId="3" borderId="0" xfId="0" applyFill="1"/>
    <xf numFmtId="0" fontId="4" fillId="7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4" borderId="1" xfId="0" applyFill="1" applyBorder="1"/>
    <xf numFmtId="0" fontId="2" fillId="4" borderId="1" xfId="0" applyFont="1" applyFill="1" applyBorder="1"/>
    <xf numFmtId="0" fontId="0" fillId="4" borderId="7" xfId="0" applyFill="1" applyBorder="1"/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left" vertical="center" wrapText="1"/>
    </xf>
    <xf numFmtId="0" fontId="21" fillId="4" borderId="0" xfId="0" applyFont="1" applyFill="1"/>
    <xf numFmtId="0" fontId="0" fillId="4" borderId="0" xfId="0" applyFill="1"/>
    <xf numFmtId="0" fontId="1" fillId="2" borderId="1" xfId="0" applyFont="1" applyFill="1" applyBorder="1"/>
    <xf numFmtId="0" fontId="1" fillId="2" borderId="3" xfId="0" applyFont="1" applyFill="1" applyBorder="1"/>
    <xf numFmtId="0" fontId="13" fillId="4" borderId="0" xfId="0" applyFont="1" applyFill="1" applyAlignment="1">
      <alignment vertical="center" wrapText="1"/>
    </xf>
    <xf numFmtId="0" fontId="3" fillId="4" borderId="0" xfId="0" applyFont="1" applyFill="1"/>
    <xf numFmtId="0" fontId="10" fillId="3" borderId="1" xfId="0" applyFont="1" applyFill="1" applyBorder="1" applyAlignment="1">
      <alignment wrapText="1"/>
    </xf>
    <xf numFmtId="0" fontId="28" fillId="4" borderId="0" xfId="0" applyFont="1" applyFill="1"/>
    <xf numFmtId="0" fontId="8" fillId="4" borderId="0" xfId="0" applyFont="1" applyFill="1"/>
    <xf numFmtId="0" fontId="8" fillId="8" borderId="1" xfId="0" applyFont="1" applyFill="1" applyBorder="1" applyAlignment="1">
      <alignment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vertical="center" wrapText="1"/>
    </xf>
    <xf numFmtId="0" fontId="4" fillId="7" borderId="1" xfId="0" applyFont="1" applyFill="1" applyBorder="1" applyAlignment="1">
      <alignment horizontal="left" vertical="center" wrapText="1"/>
    </xf>
    <xf numFmtId="0" fontId="0" fillId="10" borderId="0" xfId="0" applyFill="1"/>
    <xf numFmtId="0" fontId="11" fillId="6" borderId="1" xfId="0" applyFont="1" applyFill="1" applyBorder="1" applyAlignment="1">
      <alignment horizontal="left" vertical="center" wrapText="1"/>
    </xf>
    <xf numFmtId="3" fontId="4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8" fillId="0" borderId="1" xfId="0" applyFont="1" applyFill="1" applyBorder="1"/>
    <xf numFmtId="0" fontId="1" fillId="3" borderId="1" xfId="0" applyFont="1" applyFill="1" applyBorder="1" applyAlignment="1">
      <alignment wrapText="1"/>
    </xf>
    <xf numFmtId="0" fontId="21" fillId="2" borderId="1" xfId="0" applyFont="1" applyFill="1" applyBorder="1" applyAlignment="1">
      <alignment wrapText="1"/>
    </xf>
    <xf numFmtId="9" fontId="0" fillId="0" borderId="1" xfId="2" applyFont="1" applyBorder="1" applyAlignment="1">
      <alignment horizontal="center" vertical="center"/>
    </xf>
    <xf numFmtId="0" fontId="21" fillId="2" borderId="1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wrapText="1"/>
    </xf>
    <xf numFmtId="0" fontId="21" fillId="2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 wrapText="1"/>
    </xf>
    <xf numFmtId="0" fontId="0" fillId="4" borderId="0" xfId="0" applyFill="1" applyAlignment="1">
      <alignment horizontal="right" vertical="top"/>
    </xf>
    <xf numFmtId="0" fontId="8" fillId="11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8" fillId="11" borderId="1" xfId="0" applyFont="1" applyFill="1" applyBorder="1" applyAlignment="1">
      <alignment wrapText="1"/>
    </xf>
    <xf numFmtId="0" fontId="0" fillId="0" borderId="1" xfId="0" applyBorder="1" applyAlignment="1">
      <alignment wrapText="1"/>
    </xf>
    <xf numFmtId="0" fontId="0" fillId="0" borderId="1" xfId="0" applyFont="1" applyBorder="1" applyAlignment="1">
      <alignment vertical="center" wrapText="1"/>
    </xf>
    <xf numFmtId="0" fontId="5" fillId="4" borderId="0" xfId="0" applyFont="1" applyFill="1"/>
    <xf numFmtId="0" fontId="1" fillId="2" borderId="1" xfId="0" applyFont="1" applyFill="1" applyBorder="1" applyAlignment="1">
      <alignment horizontal="left" vertical="center" wrapText="1"/>
    </xf>
    <xf numFmtId="0" fontId="41" fillId="4" borderId="0" xfId="0" applyFont="1" applyFill="1"/>
    <xf numFmtId="0" fontId="1" fillId="2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/>
    </xf>
    <xf numFmtId="0" fontId="0" fillId="0" borderId="1" xfId="0" applyFont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0" fontId="8" fillId="4" borderId="0" xfId="0" applyFont="1" applyFill="1" applyBorder="1" applyAlignment="1">
      <alignment wrapText="1"/>
    </xf>
    <xf numFmtId="0" fontId="30" fillId="0" borderId="1" xfId="0" applyFont="1" applyBorder="1" applyAlignment="1">
      <alignment vertical="center" wrapText="1"/>
    </xf>
    <xf numFmtId="0" fontId="0" fillId="0" borderId="1" xfId="0" applyFont="1" applyFill="1" applyBorder="1" applyAlignment="1">
      <alignment vertical="center" wrapText="1"/>
    </xf>
    <xf numFmtId="0" fontId="15" fillId="2" borderId="1" xfId="0" applyFont="1" applyFill="1" applyBorder="1" applyAlignment="1">
      <alignment vertical="center" wrapText="1"/>
    </xf>
    <xf numFmtId="0" fontId="31" fillId="0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vertical="center"/>
    </xf>
    <xf numFmtId="0" fontId="14" fillId="3" borderId="1" xfId="0" applyFont="1" applyFill="1" applyBorder="1" applyAlignment="1">
      <alignment vertical="center"/>
    </xf>
    <xf numFmtId="0" fontId="8" fillId="6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33" fillId="4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40" fillId="4" borderId="0" xfId="0" applyFont="1" applyFill="1" applyAlignment="1">
      <alignment horizontal="justify" vertical="center"/>
    </xf>
    <xf numFmtId="0" fontId="0" fillId="0" borderId="0" xfId="0" applyProtection="1"/>
    <xf numFmtId="0" fontId="0" fillId="4" borderId="0" xfId="0" applyFill="1" applyProtection="1"/>
    <xf numFmtId="0" fontId="11" fillId="4" borderId="19" xfId="0" applyFont="1" applyFill="1" applyBorder="1" applyAlignment="1" applyProtection="1">
      <alignment vertical="center" wrapText="1"/>
    </xf>
    <xf numFmtId="0" fontId="11" fillId="4" borderId="20" xfId="0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wrapText="1"/>
    </xf>
    <xf numFmtId="0" fontId="1" fillId="2" borderId="25" xfId="0" applyFont="1" applyFill="1" applyBorder="1" applyAlignment="1" applyProtection="1"/>
    <xf numFmtId="0" fontId="11" fillId="4" borderId="19" xfId="0" applyFont="1" applyFill="1" applyBorder="1" applyAlignment="1" applyProtection="1">
      <alignment horizontal="center" vertical="center" wrapText="1"/>
    </xf>
    <xf numFmtId="0" fontId="1" fillId="2" borderId="21" xfId="0" applyFont="1" applyFill="1" applyBorder="1" applyAlignment="1" applyProtection="1">
      <alignment horizontal="center" vertical="center" wrapText="1"/>
    </xf>
    <xf numFmtId="0" fontId="1" fillId="2" borderId="22" xfId="0" applyFont="1" applyFill="1" applyBorder="1" applyAlignment="1" applyProtection="1">
      <alignment horizontal="center" vertical="center" wrapText="1"/>
    </xf>
    <xf numFmtId="0" fontId="11" fillId="4" borderId="17" xfId="0" applyFont="1" applyFill="1" applyBorder="1" applyAlignment="1" applyProtection="1">
      <alignment horizontal="center" vertical="center" wrapText="1"/>
    </xf>
    <xf numFmtId="0" fontId="11" fillId="4" borderId="23" xfId="0" applyFont="1" applyFill="1" applyBorder="1" applyAlignment="1" applyProtection="1">
      <alignment horizontal="center" vertical="center" wrapText="1"/>
    </xf>
    <xf numFmtId="0" fontId="8" fillId="8" borderId="1" xfId="0" applyFont="1" applyFill="1" applyBorder="1" applyAlignment="1" applyProtection="1">
      <alignment vertical="center" wrapText="1"/>
      <protection locked="0"/>
    </xf>
    <xf numFmtId="0" fontId="8" fillId="6" borderId="1" xfId="0" applyFont="1" applyFill="1" applyBorder="1" applyAlignment="1" applyProtection="1">
      <alignment vertical="center" wrapText="1"/>
      <protection locked="0"/>
    </xf>
    <xf numFmtId="0" fontId="8" fillId="6" borderId="1" xfId="0" applyFont="1" applyFill="1" applyBorder="1" applyAlignment="1" applyProtection="1">
      <alignment horizontal="left" vertical="center" wrapText="1"/>
      <protection locked="0"/>
    </xf>
    <xf numFmtId="0" fontId="0" fillId="0" borderId="0" xfId="0" applyBorder="1"/>
    <xf numFmtId="0" fontId="2" fillId="12" borderId="0" xfId="0" applyFont="1" applyFill="1" applyBorder="1"/>
    <xf numFmtId="0" fontId="2" fillId="12" borderId="0" xfId="0" applyFont="1" applyFill="1"/>
    <xf numFmtId="0" fontId="43" fillId="12" borderId="1" xfId="0" applyFont="1" applyFill="1" applyBorder="1" applyAlignment="1">
      <alignment horizontal="left" vertical="center" wrapText="1"/>
    </xf>
    <xf numFmtId="3" fontId="11" fillId="4" borderId="20" xfId="0" applyNumberFormat="1" applyFont="1" applyFill="1" applyBorder="1" applyAlignment="1" applyProtection="1">
      <alignment horizontal="center" vertical="center" wrapText="1"/>
    </xf>
    <xf numFmtId="3" fontId="4" fillId="3" borderId="8" xfId="0" applyNumberFormat="1" applyFont="1" applyFill="1" applyBorder="1" applyAlignment="1">
      <alignment horizontal="center" vertical="center" wrapText="1"/>
    </xf>
    <xf numFmtId="3" fontId="4" fillId="8" borderId="1" xfId="0" applyNumberFormat="1" applyFont="1" applyFill="1" applyBorder="1" applyAlignment="1">
      <alignment horizontal="center" vertical="center" wrapText="1"/>
    </xf>
    <xf numFmtId="3" fontId="4" fillId="8" borderId="8" xfId="0" applyNumberFormat="1" applyFont="1" applyFill="1" applyBorder="1" applyAlignment="1">
      <alignment horizontal="center" vertical="center" wrapText="1"/>
    </xf>
    <xf numFmtId="3" fontId="4" fillId="6" borderId="8" xfId="0" applyNumberFormat="1" applyFont="1" applyFill="1" applyBorder="1" applyAlignment="1">
      <alignment horizontal="center" vertical="center" wrapText="1"/>
    </xf>
    <xf numFmtId="3" fontId="4" fillId="7" borderId="1" xfId="0" applyNumberFormat="1" applyFont="1" applyFill="1" applyBorder="1" applyAlignment="1">
      <alignment horizontal="center" vertical="center" wrapText="1"/>
    </xf>
    <xf numFmtId="3" fontId="4" fillId="7" borderId="8" xfId="0" applyNumberFormat="1" applyFont="1" applyFill="1" applyBorder="1" applyAlignment="1">
      <alignment horizontal="center" vertical="center" wrapText="1"/>
    </xf>
    <xf numFmtId="3" fontId="10" fillId="3" borderId="1" xfId="0" applyNumberFormat="1" applyFont="1" applyFill="1" applyBorder="1" applyAlignment="1">
      <alignment horizontal="center" vertical="center"/>
    </xf>
    <xf numFmtId="171" fontId="0" fillId="4" borderId="0" xfId="0" applyNumberFormat="1" applyFill="1"/>
    <xf numFmtId="3" fontId="11" fillId="4" borderId="17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/>
    <xf numFmtId="3" fontId="8" fillId="5" borderId="1" xfId="0" applyNumberFormat="1" applyFont="1" applyFill="1" applyBorder="1" applyAlignment="1">
      <alignment horizontal="center" vertical="center" wrapText="1"/>
    </xf>
    <xf numFmtId="3" fontId="4" fillId="5" borderId="1" xfId="0" applyNumberFormat="1" applyFont="1" applyFill="1" applyBorder="1" applyAlignment="1">
      <alignment horizontal="center" vertical="center" wrapText="1"/>
    </xf>
    <xf numFmtId="3" fontId="4" fillId="5" borderId="1" xfId="2" applyNumberFormat="1" applyFont="1" applyFill="1" applyBorder="1" applyAlignment="1">
      <alignment horizontal="center" vertical="center" wrapText="1"/>
    </xf>
    <xf numFmtId="3" fontId="8" fillId="5" borderId="1" xfId="0" applyNumberFormat="1" applyFont="1" applyFill="1" applyBorder="1" applyAlignment="1">
      <alignment horizontal="center" vertical="center"/>
    </xf>
    <xf numFmtId="3" fontId="4" fillId="5" borderId="1" xfId="0" applyNumberFormat="1" applyFont="1" applyFill="1" applyBorder="1" applyAlignment="1">
      <alignment horizontal="center" vertical="center"/>
    </xf>
    <xf numFmtId="3" fontId="4" fillId="3" borderId="1" xfId="2" applyNumberFormat="1" applyFont="1" applyFill="1" applyBorder="1" applyAlignment="1">
      <alignment horizontal="center" vertical="center" wrapText="1"/>
    </xf>
    <xf numFmtId="3" fontId="4" fillId="8" borderId="1" xfId="2" applyNumberFormat="1" applyFont="1" applyFill="1" applyBorder="1" applyAlignment="1">
      <alignment horizontal="center" vertical="center" wrapText="1"/>
    </xf>
    <xf numFmtId="3" fontId="4" fillId="6" borderId="1" xfId="2" applyNumberFormat="1" applyFont="1" applyFill="1" applyBorder="1" applyAlignment="1">
      <alignment horizontal="center" vertical="center" wrapText="1"/>
    </xf>
    <xf numFmtId="3" fontId="4" fillId="7" borderId="1" xfId="2" applyNumberFormat="1" applyFont="1" applyFill="1" applyBorder="1" applyAlignment="1">
      <alignment horizontal="center" vertical="center" wrapText="1"/>
    </xf>
    <xf numFmtId="168" fontId="4" fillId="8" borderId="1" xfId="2" applyNumberFormat="1" applyFont="1" applyFill="1" applyBorder="1" applyAlignment="1">
      <alignment horizontal="center" vertical="center" wrapText="1"/>
    </xf>
    <xf numFmtId="3" fontId="1" fillId="2" borderId="10" xfId="0" applyNumberFormat="1" applyFont="1" applyFill="1" applyBorder="1" applyAlignment="1">
      <alignment horizontal="center" wrapText="1"/>
    </xf>
    <xf numFmtId="3" fontId="1" fillId="2" borderId="1" xfId="0" applyNumberFormat="1" applyFont="1" applyFill="1" applyBorder="1" applyAlignment="1">
      <alignment horizontal="center" wrapText="1"/>
    </xf>
    <xf numFmtId="168" fontId="4" fillId="8" borderId="1" xfId="0" applyNumberFormat="1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/>
    </xf>
    <xf numFmtId="2" fontId="8" fillId="0" borderId="1" xfId="0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4" fontId="1" fillId="2" borderId="3" xfId="0" applyNumberFormat="1" applyFont="1" applyFill="1" applyBorder="1"/>
    <xf numFmtId="172" fontId="4" fillId="6" borderId="1" xfId="2" applyNumberFormat="1" applyFont="1" applyFill="1" applyBorder="1" applyAlignment="1">
      <alignment horizontal="center" vertical="center" wrapText="1"/>
    </xf>
    <xf numFmtId="10" fontId="0" fillId="0" borderId="1" xfId="2" applyNumberFormat="1" applyFont="1" applyBorder="1" applyAlignment="1">
      <alignment horizontal="center" vertical="center"/>
    </xf>
    <xf numFmtId="0" fontId="21" fillId="2" borderId="43" xfId="0" applyFont="1" applyFill="1" applyBorder="1" applyAlignment="1">
      <alignment horizontal="center" wrapText="1"/>
    </xf>
    <xf numFmtId="4" fontId="11" fillId="4" borderId="20" xfId="0" applyNumberFormat="1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2" fillId="4" borderId="0" xfId="0" applyFont="1" applyFill="1" applyAlignment="1">
      <alignment horizontal="left" vertical="top"/>
    </xf>
    <xf numFmtId="9" fontId="18" fillId="12" borderId="1" xfId="2" applyFont="1" applyFill="1" applyBorder="1" applyAlignment="1" applyProtection="1">
      <alignment horizontal="center" vertical="center"/>
      <protection locked="0"/>
    </xf>
    <xf numFmtId="0" fontId="15" fillId="2" borderId="1" xfId="0" applyFont="1" applyFill="1" applyBorder="1" applyAlignment="1">
      <alignment vertical="center"/>
    </xf>
    <xf numFmtId="0" fontId="45" fillId="0" borderId="1" xfId="0" applyFont="1" applyFill="1" applyBorder="1" applyAlignment="1">
      <alignment wrapText="1"/>
    </xf>
    <xf numFmtId="0" fontId="45" fillId="0" borderId="1" xfId="0" applyFont="1" applyFill="1" applyBorder="1" applyAlignment="1">
      <alignment horizontal="center" vertical="center"/>
    </xf>
    <xf numFmtId="0" fontId="45" fillId="0" borderId="0" xfId="0" applyFont="1"/>
    <xf numFmtId="0" fontId="0" fillId="12" borderId="0" xfId="0" applyFill="1"/>
    <xf numFmtId="0" fontId="0" fillId="0" borderId="30" xfId="0" applyFill="1" applyBorder="1" applyAlignment="1">
      <alignment vertical="center" wrapText="1"/>
    </xf>
    <xf numFmtId="0" fontId="10" fillId="3" borderId="1" xfId="0" applyFont="1" applyFill="1" applyBorder="1" applyAlignment="1">
      <alignment vertical="center" wrapText="1"/>
    </xf>
    <xf numFmtId="0" fontId="47" fillId="3" borderId="1" xfId="0" applyFont="1" applyFill="1" applyBorder="1" applyAlignment="1">
      <alignment wrapText="1"/>
    </xf>
    <xf numFmtId="0" fontId="45" fillId="0" borderId="1" xfId="0" applyFont="1" applyFill="1" applyBorder="1" applyAlignment="1">
      <alignment horizontal="left" wrapText="1"/>
    </xf>
    <xf numFmtId="0" fontId="8" fillId="4" borderId="1" xfId="0" applyFont="1" applyFill="1" applyBorder="1" applyAlignment="1">
      <alignment vertical="center" wrapText="1"/>
    </xf>
    <xf numFmtId="0" fontId="8" fillId="4" borderId="35" xfId="0" applyFont="1" applyFill="1" applyBorder="1" applyAlignment="1">
      <alignment vertical="center" wrapText="1"/>
    </xf>
    <xf numFmtId="0" fontId="8" fillId="4" borderId="32" xfId="0" applyFont="1" applyFill="1" applyBorder="1" applyAlignment="1">
      <alignment vertical="center" wrapText="1"/>
    </xf>
    <xf numFmtId="4" fontId="8" fillId="0" borderId="1" xfId="0" applyNumberFormat="1" applyFont="1" applyFill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/>
    </xf>
    <xf numFmtId="9" fontId="0" fillId="12" borderId="1" xfId="2" applyFont="1" applyFill="1" applyBorder="1" applyAlignment="1" applyProtection="1">
      <alignment horizontal="center" vertical="center"/>
      <protection locked="0"/>
    </xf>
    <xf numFmtId="0" fontId="2" fillId="4" borderId="0" xfId="0" applyFont="1" applyFill="1" applyBorder="1"/>
    <xf numFmtId="0" fontId="0" fillId="0" borderId="0" xfId="0" applyAlignment="1">
      <alignment wrapText="1"/>
    </xf>
    <xf numFmtId="1" fontId="0" fillId="4" borderId="0" xfId="0" applyNumberFormat="1" applyFill="1"/>
    <xf numFmtId="0" fontId="27" fillId="4" borderId="9" xfId="0" applyFont="1" applyFill="1" applyBorder="1" applyAlignment="1" applyProtection="1">
      <alignment vertical="center" wrapText="1"/>
    </xf>
    <xf numFmtId="0" fontId="0" fillId="4" borderId="29" xfId="0" applyFill="1" applyBorder="1" applyAlignment="1" applyProtection="1">
      <alignment horizontal="center"/>
      <protection locked="0"/>
    </xf>
    <xf numFmtId="0" fontId="0" fillId="4" borderId="0" xfId="0" applyFill="1" applyBorder="1" applyAlignment="1" applyProtection="1">
      <alignment horizontal="center"/>
      <protection locked="0"/>
    </xf>
    <xf numFmtId="0" fontId="27" fillId="4" borderId="0" xfId="0" applyFont="1" applyFill="1" applyBorder="1" applyAlignment="1" applyProtection="1">
      <alignment vertical="center"/>
    </xf>
    <xf numFmtId="3" fontId="0" fillId="4" borderId="0" xfId="0" applyNumberFormat="1" applyFill="1" applyBorder="1" applyAlignment="1" applyProtection="1">
      <alignment horizontal="left" vertical="center"/>
      <protection locked="0"/>
    </xf>
    <xf numFmtId="0" fontId="48" fillId="0" borderId="9" xfId="0" applyFont="1" applyBorder="1" applyAlignment="1" applyProtection="1">
      <alignment vertical="center" wrapText="1"/>
    </xf>
    <xf numFmtId="2" fontId="23" fillId="4" borderId="0" xfId="0" applyNumberFormat="1" applyFont="1" applyFill="1" applyBorder="1" applyAlignment="1">
      <alignment horizontal="left" vertical="center" wrapText="1"/>
    </xf>
    <xf numFmtId="2" fontId="8" fillId="4" borderId="0" xfId="0" applyNumberFormat="1" applyFont="1" applyFill="1" applyBorder="1" applyAlignment="1">
      <alignment horizontal="left" vertical="center" wrapText="1"/>
    </xf>
    <xf numFmtId="1" fontId="8" fillId="4" borderId="0" xfId="0" applyNumberFormat="1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horizontal="center" wrapText="1"/>
    </xf>
    <xf numFmtId="0" fontId="0" fillId="0" borderId="1" xfId="0" applyFill="1" applyBorder="1" applyAlignment="1" applyProtection="1">
      <alignment horizontal="center" vertical="center"/>
      <protection locked="0"/>
    </xf>
    <xf numFmtId="0" fontId="0" fillId="13" borderId="1" xfId="0" applyFill="1" applyBorder="1" applyAlignment="1" applyProtection="1">
      <alignment horizontal="center" vertical="center"/>
      <protection locked="0"/>
    </xf>
    <xf numFmtId="0" fontId="0" fillId="13" borderId="43" xfId="0" applyFill="1" applyBorder="1" applyAlignment="1" applyProtection="1">
      <alignment horizontal="center" vertical="center"/>
      <protection locked="0"/>
    </xf>
    <xf numFmtId="0" fontId="0" fillId="13" borderId="32" xfId="0" applyFill="1" applyBorder="1" applyAlignment="1" applyProtection="1">
      <alignment horizontal="center" vertical="center"/>
      <protection locked="0"/>
    </xf>
    <xf numFmtId="2" fontId="8" fillId="12" borderId="1" xfId="0" applyNumberFormat="1" applyFont="1" applyFill="1" applyBorder="1" applyAlignment="1">
      <alignment horizontal="center"/>
    </xf>
    <xf numFmtId="0" fontId="0" fillId="13" borderId="0" xfId="0" applyFill="1"/>
    <xf numFmtId="9" fontId="18" fillId="13" borderId="1" xfId="2" applyFont="1" applyFill="1" applyBorder="1" applyAlignment="1" applyProtection="1">
      <alignment horizontal="center" vertical="center"/>
      <protection locked="0"/>
    </xf>
    <xf numFmtId="0" fontId="0" fillId="13" borderId="30" xfId="0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5" fillId="14" borderId="1" xfId="0" applyFont="1" applyFill="1" applyBorder="1" applyAlignment="1" applyProtection="1">
      <alignment horizontal="center" vertical="center"/>
      <protection locked="0"/>
    </xf>
    <xf numFmtId="0" fontId="0" fillId="14" borderId="0" xfId="0" applyFill="1"/>
    <xf numFmtId="0" fontId="0" fillId="15" borderId="0" xfId="0" applyFill="1"/>
    <xf numFmtId="167" fontId="0" fillId="14" borderId="1" xfId="0" applyNumberFormat="1" applyFill="1" applyBorder="1" applyAlignment="1" applyProtection="1">
      <alignment horizontal="center" vertical="center"/>
      <protection locked="0"/>
    </xf>
    <xf numFmtId="2" fontId="0" fillId="14" borderId="1" xfId="0" applyNumberFormat="1" applyFill="1" applyBorder="1" applyAlignment="1" applyProtection="1">
      <alignment horizontal="center"/>
      <protection locked="0"/>
    </xf>
    <xf numFmtId="169" fontId="0" fillId="14" borderId="1" xfId="0" applyNumberFormat="1" applyFill="1" applyBorder="1" applyAlignment="1" applyProtection="1">
      <alignment horizont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" fontId="0" fillId="14" borderId="1" xfId="0" applyNumberFormat="1" applyFill="1" applyBorder="1" applyAlignment="1" applyProtection="1">
      <alignment horizontal="center"/>
      <protection locked="0"/>
    </xf>
    <xf numFmtId="0" fontId="0" fillId="14" borderId="1" xfId="0" applyFill="1" applyBorder="1" applyProtection="1">
      <protection locked="0"/>
    </xf>
    <xf numFmtId="170" fontId="0" fillId="14" borderId="1" xfId="0" applyNumberFormat="1" applyFill="1" applyBorder="1" applyProtection="1">
      <protection locked="0"/>
    </xf>
    <xf numFmtId="3" fontId="0" fillId="15" borderId="30" xfId="0" applyNumberFormat="1" applyFill="1" applyBorder="1" applyAlignment="1" applyProtection="1">
      <alignment vertical="center"/>
      <protection locked="0"/>
    </xf>
    <xf numFmtId="9" fontId="0" fillId="14" borderId="1" xfId="2" applyFont="1" applyFill="1" applyBorder="1" applyAlignment="1" applyProtection="1">
      <alignment horizontal="center" vertical="center"/>
      <protection locked="0"/>
    </xf>
    <xf numFmtId="0" fontId="0" fillId="4" borderId="0" xfId="0" applyFont="1" applyFill="1" applyBorder="1" applyAlignment="1">
      <alignment horizontal="center" wrapText="1"/>
    </xf>
    <xf numFmtId="164" fontId="0" fillId="0" borderId="1" xfId="3" applyNumberFormat="1" applyFont="1" applyFill="1" applyBorder="1" applyAlignment="1" applyProtection="1">
      <alignment horizontal="center" vertical="center"/>
      <protection locked="0"/>
    </xf>
    <xf numFmtId="2" fontId="43" fillId="0" borderId="1" xfId="0" applyNumberFormat="1" applyFont="1" applyFill="1" applyBorder="1" applyAlignment="1" applyProtection="1">
      <alignment horizontal="center" vertical="center"/>
      <protection locked="0"/>
    </xf>
    <xf numFmtId="2" fontId="0" fillId="0" borderId="1" xfId="0" applyNumberFormat="1" applyFont="1" applyFill="1" applyBorder="1" applyAlignment="1" applyProtection="1">
      <alignment horizontal="center" vertical="center"/>
      <protection locked="0"/>
    </xf>
    <xf numFmtId="166" fontId="0" fillId="0" borderId="1" xfId="0" applyNumberFormat="1" applyFill="1" applyBorder="1" applyProtection="1">
      <protection locked="0"/>
    </xf>
    <xf numFmtId="9" fontId="0" fillId="0" borderId="1" xfId="2" applyFont="1" applyFill="1" applyBorder="1" applyProtection="1">
      <protection locked="0"/>
    </xf>
    <xf numFmtId="0" fontId="0" fillId="0" borderId="1" xfId="0" applyFont="1" applyFill="1" applyBorder="1" applyAlignment="1" applyProtection="1">
      <alignment horizontal="center" vertical="center" wrapText="1"/>
      <protection locked="0"/>
    </xf>
    <xf numFmtId="165" fontId="0" fillId="0" borderId="1" xfId="0" applyNumberFormat="1" applyFill="1" applyBorder="1" applyAlignment="1" applyProtection="1">
      <alignment horizontal="center" vertical="center"/>
      <protection locked="0"/>
    </xf>
    <xf numFmtId="165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" fontId="0" fillId="0" borderId="1" xfId="0" applyNumberFormat="1" applyFill="1" applyBorder="1" applyAlignment="1" applyProtection="1">
      <alignment horizontal="center"/>
      <protection locked="0"/>
    </xf>
    <xf numFmtId="3" fontId="0" fillId="0" borderId="1" xfId="0" applyNumberFormat="1" applyFill="1" applyBorder="1" applyAlignment="1" applyProtection="1">
      <alignment horizontal="center"/>
      <protection locked="0"/>
    </xf>
    <xf numFmtId="165" fontId="32" fillId="0" borderId="1" xfId="0" applyNumberFormat="1" applyFont="1" applyFill="1" applyBorder="1" applyAlignment="1" applyProtection="1">
      <alignment horizontal="center" vertical="center" wrapText="1"/>
      <protection locked="0"/>
    </xf>
    <xf numFmtId="165" fontId="3" fillId="0" borderId="1" xfId="0" applyNumberFormat="1" applyFont="1" applyFill="1" applyBorder="1" applyAlignment="1" applyProtection="1">
      <alignment horizontal="center" vertical="center"/>
      <protection locked="0"/>
    </xf>
    <xf numFmtId="2" fontId="37" fillId="0" borderId="1" xfId="0" applyNumberFormat="1" applyFont="1" applyFill="1" applyBorder="1" applyAlignment="1" applyProtection="1">
      <alignment horizontal="center" vertical="center"/>
      <protection locked="0"/>
    </xf>
    <xf numFmtId="165" fontId="44" fillId="0" borderId="1" xfId="0" applyNumberFormat="1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/>
    </xf>
    <xf numFmtId="1" fontId="44" fillId="0" borderId="1" xfId="0" applyNumberFormat="1" applyFont="1" applyFill="1" applyBorder="1" applyAlignment="1" applyProtection="1">
      <alignment horizontal="center"/>
      <protection locked="0"/>
    </xf>
    <xf numFmtId="3" fontId="44" fillId="0" borderId="1" xfId="0" applyNumberFormat="1" applyFont="1" applyFill="1" applyBorder="1" applyAlignment="1" applyProtection="1">
      <alignment horizontal="center"/>
      <protection locked="0"/>
    </xf>
    <xf numFmtId="2" fontId="0" fillId="0" borderId="1" xfId="0" applyNumberFormat="1" applyFill="1" applyBorder="1" applyAlignment="1" applyProtection="1">
      <alignment horizontal="center" vertical="center"/>
      <protection locked="0"/>
    </xf>
    <xf numFmtId="166" fontId="0" fillId="0" borderId="1" xfId="0" applyNumberFormat="1" applyFill="1" applyBorder="1" applyAlignment="1" applyProtection="1">
      <alignment horizontal="center" vertical="center"/>
      <protection locked="0"/>
    </xf>
    <xf numFmtId="2" fontId="3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47" xfId="0" applyFont="1" applyFill="1" applyBorder="1" applyAlignment="1" applyProtection="1">
      <alignment vertical="center"/>
    </xf>
    <xf numFmtId="0" fontId="27" fillId="0" borderId="47" xfId="0" applyFont="1" applyFill="1" applyBorder="1" applyAlignment="1" applyProtection="1">
      <alignment vertical="center" wrapText="1"/>
    </xf>
    <xf numFmtId="0" fontId="27" fillId="0" borderId="47" xfId="0" applyFont="1" applyBorder="1" applyAlignment="1" applyProtection="1">
      <alignment vertical="center"/>
    </xf>
    <xf numFmtId="0" fontId="0" fillId="0" borderId="47" xfId="0" applyFill="1" applyBorder="1" applyProtection="1">
      <protection locked="0"/>
    </xf>
    <xf numFmtId="3" fontId="0" fillId="0" borderId="47" xfId="0" applyNumberFormat="1" applyFill="1" applyBorder="1" applyAlignment="1" applyProtection="1">
      <alignment horizontal="left"/>
      <protection locked="0"/>
    </xf>
    <xf numFmtId="3" fontId="0" fillId="0" borderId="47" xfId="0" applyNumberFormat="1" applyFill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>
      <alignment horizontal="left" vertical="center"/>
    </xf>
    <xf numFmtId="0" fontId="15" fillId="2" borderId="1" xfId="0" applyFont="1" applyFill="1" applyBorder="1" applyAlignment="1">
      <alignment horizontal="left" vertical="center"/>
    </xf>
    <xf numFmtId="0" fontId="50" fillId="11" borderId="1" xfId="0" applyFont="1" applyFill="1" applyBorder="1" applyAlignment="1">
      <alignment vertical="center" wrapText="1"/>
    </xf>
    <xf numFmtId="0" fontId="50" fillId="0" borderId="1" xfId="0" applyFont="1" applyFill="1" applyBorder="1" applyAlignment="1">
      <alignment horizontal="left" vertical="center" wrapText="1"/>
    </xf>
    <xf numFmtId="0" fontId="5" fillId="13" borderId="1" xfId="0" applyFont="1" applyFill="1" applyBorder="1" applyAlignment="1" applyProtection="1">
      <alignment horizontal="center" vertical="center"/>
      <protection locked="0"/>
    </xf>
    <xf numFmtId="0" fontId="5" fillId="13" borderId="43" xfId="0" applyFont="1" applyFill="1" applyBorder="1" applyAlignment="1" applyProtection="1">
      <alignment horizontal="center" vertical="center"/>
      <protection locked="0"/>
    </xf>
    <xf numFmtId="0" fontId="50" fillId="0" borderId="30" xfId="0" applyFont="1" applyFill="1" applyBorder="1" applyAlignment="1">
      <alignment wrapText="1"/>
    </xf>
    <xf numFmtId="0" fontId="50" fillId="11" borderId="1" xfId="0" applyFont="1" applyFill="1" applyBorder="1" applyAlignment="1">
      <alignment wrapText="1"/>
    </xf>
    <xf numFmtId="0" fontId="50" fillId="0" borderId="32" xfId="0" applyFont="1" applyFill="1" applyBorder="1" applyAlignment="1">
      <alignment wrapText="1"/>
    </xf>
    <xf numFmtId="0" fontId="0" fillId="14" borderId="1" xfId="0" applyFill="1" applyBorder="1" applyAlignment="1" applyProtection="1">
      <alignment horizontal="center" vertical="center"/>
      <protection locked="0"/>
    </xf>
    <xf numFmtId="0" fontId="51" fillId="0" borderId="47" xfId="0" applyFont="1" applyFill="1" applyBorder="1" applyAlignment="1" applyProtection="1">
      <alignment vertical="center"/>
    </xf>
    <xf numFmtId="0" fontId="51" fillId="0" borderId="47" xfId="0" applyFont="1" applyFill="1" applyBorder="1" applyAlignment="1" applyProtection="1">
      <alignment vertical="center" wrapText="1"/>
    </xf>
    <xf numFmtId="10" fontId="0" fillId="0" borderId="0" xfId="0" applyNumberFormat="1"/>
    <xf numFmtId="2" fontId="28" fillId="4" borderId="0" xfId="0" applyNumberFormat="1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3" fontId="52" fillId="4" borderId="0" xfId="0" applyNumberFormat="1" applyFont="1" applyFill="1" applyAlignment="1">
      <alignment horizontal="center" vertical="center"/>
    </xf>
    <xf numFmtId="165" fontId="52" fillId="4" borderId="0" xfId="0" applyNumberFormat="1" applyFont="1" applyFill="1" applyAlignment="1">
      <alignment horizontal="center" vertical="center"/>
    </xf>
    <xf numFmtId="0" fontId="28" fillId="3" borderId="1" xfId="0" applyFont="1" applyFill="1" applyBorder="1" applyAlignment="1">
      <alignment vertical="center" wrapText="1"/>
    </xf>
    <xf numFmtId="0" fontId="53" fillId="3" borderId="1" xfId="0" applyFont="1" applyFill="1" applyBorder="1" applyAlignment="1">
      <alignment vertical="center" wrapText="1"/>
    </xf>
    <xf numFmtId="10" fontId="0" fillId="4" borderId="0" xfId="0" applyNumberFormat="1" applyFill="1"/>
    <xf numFmtId="0" fontId="46" fillId="4" borderId="35" xfId="0" applyFont="1" applyFill="1" applyBorder="1" applyAlignment="1">
      <alignment vertical="center" wrapText="1"/>
    </xf>
    <xf numFmtId="0" fontId="46" fillId="4" borderId="32" xfId="0" applyFont="1" applyFill="1" applyBorder="1" applyAlignment="1">
      <alignment vertical="center" wrapText="1"/>
    </xf>
    <xf numFmtId="0" fontId="0" fillId="4" borderId="18" xfId="0" applyFont="1" applyFill="1" applyBorder="1" applyAlignment="1">
      <alignment wrapText="1"/>
    </xf>
    <xf numFmtId="2" fontId="23" fillId="4" borderId="0" xfId="0" applyNumberFormat="1" applyFont="1" applyFill="1" applyBorder="1" applyAlignment="1">
      <alignment vertical="center" wrapText="1"/>
    </xf>
    <xf numFmtId="2" fontId="29" fillId="4" borderId="0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vertical="center" wrapText="1"/>
    </xf>
    <xf numFmtId="0" fontId="33" fillId="4" borderId="0" xfId="0" applyFont="1" applyFill="1" applyAlignment="1"/>
    <xf numFmtId="0" fontId="33" fillId="4" borderId="18" xfId="0" applyFont="1" applyFill="1" applyBorder="1" applyAlignment="1"/>
    <xf numFmtId="0" fontId="0" fillId="4" borderId="0" xfId="0" applyFill="1" applyAlignment="1"/>
    <xf numFmtId="0" fontId="45" fillId="4" borderId="0" xfId="0" applyFont="1" applyFill="1"/>
    <xf numFmtId="0" fontId="12" fillId="4" borderId="0" xfId="0" quotePrefix="1" applyFont="1" applyFill="1"/>
    <xf numFmtId="9" fontId="0" fillId="4" borderId="0" xfId="2" applyFont="1" applyFill="1"/>
    <xf numFmtId="3" fontId="0" fillId="4" borderId="0" xfId="0" applyNumberFormat="1" applyFill="1"/>
    <xf numFmtId="0" fontId="46" fillId="10" borderId="30" xfId="0" applyFont="1" applyFill="1" applyBorder="1" applyAlignment="1">
      <alignment vertical="center" wrapText="1"/>
    </xf>
    <xf numFmtId="0" fontId="46" fillId="10" borderId="35" xfId="0" applyFont="1" applyFill="1" applyBorder="1" applyAlignment="1">
      <alignment vertical="center" wrapText="1"/>
    </xf>
    <xf numFmtId="0" fontId="46" fillId="10" borderId="18" xfId="0" applyFont="1" applyFill="1" applyBorder="1" applyAlignment="1">
      <alignment vertical="center" wrapText="1"/>
    </xf>
    <xf numFmtId="0" fontId="46" fillId="10" borderId="32" xfId="0" applyFont="1" applyFill="1" applyBorder="1" applyAlignment="1">
      <alignment vertical="center" wrapText="1"/>
    </xf>
    <xf numFmtId="0" fontId="0" fillId="4" borderId="0" xfId="0" applyFill="1" applyAlignment="1">
      <alignment horizontal="left" vertical="top" wrapText="1"/>
    </xf>
    <xf numFmtId="0" fontId="4" fillId="7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left" vertical="center" wrapText="1"/>
    </xf>
    <xf numFmtId="3" fontId="4" fillId="5" borderId="1" xfId="0" applyNumberFormat="1" applyFont="1" applyFill="1" applyBorder="1" applyAlignment="1" applyProtection="1">
      <alignment horizontal="center" vertical="center"/>
      <protection locked="0"/>
    </xf>
    <xf numFmtId="3" fontId="4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4" fillId="8" borderId="1" xfId="0" applyNumberFormat="1" applyFont="1" applyFill="1" applyBorder="1" applyAlignment="1" applyProtection="1">
      <alignment horizontal="center" vertical="center" wrapText="1"/>
      <protection locked="0"/>
    </xf>
    <xf numFmtId="3" fontId="4" fillId="6" borderId="1" xfId="0" applyNumberFormat="1" applyFont="1" applyFill="1" applyBorder="1" applyAlignment="1" applyProtection="1">
      <alignment horizontal="center" vertical="center" wrapText="1"/>
      <protection locked="0"/>
    </xf>
    <xf numFmtId="3" fontId="4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8" borderId="1" xfId="0" applyFont="1" applyFill="1" applyBorder="1" applyAlignment="1" applyProtection="1">
      <alignment horizontal="center" vertical="center" wrapText="1"/>
      <protection locked="0"/>
    </xf>
    <xf numFmtId="0" fontId="8" fillId="8" borderId="1" xfId="0" applyFont="1" applyFill="1" applyBorder="1" applyAlignment="1" applyProtection="1">
      <alignment horizontal="center" vertical="center" wrapText="1"/>
      <protection hidden="1"/>
    </xf>
    <xf numFmtId="0" fontId="8" fillId="6" borderId="1" xfId="0" applyFont="1" applyFill="1" applyBorder="1" applyAlignment="1" applyProtection="1">
      <alignment horizontal="center" vertical="center" wrapText="1"/>
      <protection locked="0"/>
    </xf>
    <xf numFmtId="0" fontId="8" fillId="6" borderId="1" xfId="0" applyFont="1" applyFill="1" applyBorder="1" applyAlignment="1" applyProtection="1">
      <alignment horizontal="center" vertical="center" wrapText="1"/>
      <protection hidden="1"/>
    </xf>
    <xf numFmtId="0" fontId="8" fillId="7" borderId="0" xfId="0" applyFont="1" applyFill="1" applyBorder="1" applyAlignment="1" applyProtection="1">
      <alignment horizontal="left" vertical="center" wrapText="1"/>
      <protection locked="0"/>
    </xf>
    <xf numFmtId="0" fontId="8" fillId="7" borderId="1" xfId="0" applyFont="1" applyFill="1" applyBorder="1" applyAlignment="1">
      <alignment horizontal="left" vertical="center" wrapText="1"/>
    </xf>
    <xf numFmtId="0" fontId="8" fillId="7" borderId="1" xfId="0" applyFont="1" applyFill="1" applyBorder="1" applyAlignment="1" applyProtection="1">
      <alignment horizontal="center" vertical="center" wrapText="1"/>
      <protection locked="0"/>
    </xf>
    <xf numFmtId="0" fontId="8" fillId="7" borderId="1" xfId="0" applyFont="1" applyFill="1" applyBorder="1" applyAlignment="1" applyProtection="1">
      <alignment horizontal="center" vertical="center" wrapText="1"/>
      <protection hidden="1"/>
    </xf>
    <xf numFmtId="0" fontId="4" fillId="7" borderId="2" xfId="0" applyFont="1" applyFill="1" applyBorder="1" applyAlignment="1">
      <alignment horizontal="left" vertical="center" wrapText="1"/>
    </xf>
    <xf numFmtId="0" fontId="4" fillId="7" borderId="1" xfId="0" applyFont="1" applyFill="1" applyBorder="1" applyAlignment="1">
      <alignment horizontal="left" vertical="center" wrapText="1"/>
    </xf>
    <xf numFmtId="0" fontId="8" fillId="7" borderId="31" xfId="0" applyFont="1" applyFill="1" applyBorder="1" applyAlignment="1">
      <alignment horizontal="left" vertical="center" wrapText="1"/>
    </xf>
    <xf numFmtId="0" fontId="8" fillId="7" borderId="2" xfId="0" applyFont="1" applyFill="1" applyBorder="1" applyAlignment="1">
      <alignment horizontal="left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0" fillId="4" borderId="0" xfId="0" applyFill="1" applyAlignment="1">
      <alignment horizontal="left" vertical="top" wrapText="1"/>
    </xf>
    <xf numFmtId="0" fontId="0" fillId="4" borderId="0" xfId="0" applyFill="1" applyAlignment="1">
      <alignment vertical="top" wrapText="1"/>
    </xf>
    <xf numFmtId="3" fontId="8" fillId="13" borderId="1" xfId="0" applyNumberFormat="1" applyFont="1" applyFill="1" applyBorder="1" applyAlignment="1" applyProtection="1">
      <alignment horizontal="center" vertical="center" wrapText="1"/>
      <protection locked="0"/>
    </xf>
    <xf numFmtId="1" fontId="8" fillId="14" borderId="1" xfId="0" applyNumberFormat="1" applyFont="1" applyFill="1" applyBorder="1" applyAlignment="1" applyProtection="1">
      <alignment horizontal="center" vertical="center" wrapText="1"/>
      <protection locked="0"/>
    </xf>
    <xf numFmtId="167" fontId="8" fillId="14" borderId="1" xfId="0" applyNumberFormat="1" applyFont="1" applyFill="1" applyBorder="1" applyAlignment="1" applyProtection="1">
      <alignment horizontal="center" vertical="center" wrapText="1"/>
      <protection locked="0"/>
    </xf>
    <xf numFmtId="0" fontId="46" fillId="10" borderId="35" xfId="0" applyFont="1" applyFill="1" applyBorder="1" applyAlignment="1" applyProtection="1">
      <alignment vertical="center" wrapText="1"/>
    </xf>
    <xf numFmtId="0" fontId="14" fillId="3" borderId="1" xfId="0" applyFont="1" applyFill="1" applyBorder="1" applyAlignment="1" applyProtection="1">
      <alignment vertical="center" wrapText="1"/>
    </xf>
    <xf numFmtId="0" fontId="1" fillId="2" borderId="1" xfId="0" applyFont="1" applyFill="1" applyBorder="1" applyAlignment="1" applyProtection="1">
      <alignment vertical="center" wrapText="1"/>
    </xf>
    <xf numFmtId="0" fontId="1" fillId="2" borderId="43" xfId="0" applyFont="1" applyFill="1" applyBorder="1" applyAlignment="1" applyProtection="1">
      <alignment vertical="center" wrapText="1"/>
    </xf>
    <xf numFmtId="0" fontId="1" fillId="2" borderId="32" xfId="0" applyFont="1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vertical="center"/>
    </xf>
    <xf numFmtId="0" fontId="0" fillId="4" borderId="1" xfId="0" applyFill="1" applyBorder="1" applyAlignment="1" applyProtection="1">
      <alignment horizontal="center" vertical="center"/>
    </xf>
    <xf numFmtId="2" fontId="0" fillId="15" borderId="1" xfId="0" applyNumberFormat="1" applyFill="1" applyBorder="1" applyAlignment="1" applyProtection="1">
      <alignment horizontal="center" vertical="center"/>
    </xf>
    <xf numFmtId="0" fontId="0" fillId="4" borderId="1" xfId="0" applyFill="1" applyBorder="1" applyAlignment="1" applyProtection="1">
      <alignment vertical="center"/>
    </xf>
    <xf numFmtId="0" fontId="0" fillId="4" borderId="32" xfId="0" applyFill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vertical="center" wrapText="1"/>
    </xf>
    <xf numFmtId="0" fontId="0" fillId="15" borderId="44" xfId="0" applyFill="1" applyBorder="1" applyAlignment="1" applyProtection="1">
      <alignment vertical="center"/>
    </xf>
    <xf numFmtId="0" fontId="0" fillId="15" borderId="1" xfId="0" applyFill="1" applyBorder="1" applyAlignment="1" applyProtection="1">
      <alignment vertical="center"/>
    </xf>
    <xf numFmtId="0" fontId="0" fillId="15" borderId="45" xfId="0" applyFill="1" applyBorder="1" applyAlignment="1" applyProtection="1">
      <alignment vertical="center"/>
    </xf>
    <xf numFmtId="0" fontId="10" fillId="4" borderId="1" xfId="0" applyFont="1" applyFill="1" applyBorder="1" applyAlignment="1" applyProtection="1">
      <alignment wrapText="1"/>
    </xf>
    <xf numFmtId="0" fontId="1" fillId="2" borderId="1" xfId="0" applyFont="1" applyFill="1" applyBorder="1" applyAlignment="1" applyProtection="1">
      <alignment horizontal="left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left" vertical="center" wrapText="1"/>
    </xf>
    <xf numFmtId="0" fontId="14" fillId="4" borderId="0" xfId="0" applyFont="1" applyFill="1" applyBorder="1" applyAlignment="1" applyProtection="1">
      <alignment vertical="center" wrapText="1"/>
    </xf>
    <xf numFmtId="0" fontId="0" fillId="4" borderId="0" xfId="0" applyFill="1" applyBorder="1" applyAlignment="1" applyProtection="1">
      <alignment horizontal="left" vertical="center" wrapText="1"/>
    </xf>
    <xf numFmtId="168" fontId="0" fillId="4" borderId="0" xfId="0" applyNumberFormat="1" applyFill="1" applyBorder="1" applyAlignment="1" applyProtection="1">
      <alignment horizontal="center"/>
    </xf>
    <xf numFmtId="0" fontId="5" fillId="0" borderId="1" xfId="0" applyFont="1" applyFill="1" applyBorder="1" applyAlignment="1" applyProtection="1">
      <alignment vertical="center" wrapText="1"/>
    </xf>
    <xf numFmtId="0" fontId="0" fillId="4" borderId="0" xfId="0" applyFont="1" applyFill="1" applyBorder="1" applyAlignment="1" applyProtection="1">
      <alignment horizontal="center" wrapText="1"/>
    </xf>
    <xf numFmtId="0" fontId="1" fillId="2" borderId="1" xfId="0" applyFont="1" applyFill="1" applyBorder="1" applyAlignment="1" applyProtection="1">
      <alignment horizontal="center" wrapText="1"/>
    </xf>
    <xf numFmtId="0" fontId="30" fillId="0" borderId="1" xfId="0" applyFont="1" applyBorder="1" applyAlignment="1" applyProtection="1">
      <alignment vertical="center" wrapText="1"/>
    </xf>
    <xf numFmtId="0" fontId="0" fillId="0" borderId="1" xfId="0" applyFont="1" applyBorder="1" applyAlignment="1" applyProtection="1">
      <alignment vertical="center" wrapText="1"/>
    </xf>
    <xf numFmtId="2" fontId="0" fillId="0" borderId="1" xfId="0" applyNumberFormat="1" applyFill="1" applyBorder="1" applyAlignment="1" applyProtection="1">
      <alignment horizontal="center" vertical="center"/>
    </xf>
    <xf numFmtId="168" fontId="0" fillId="15" borderId="1" xfId="0" applyNumberFormat="1" applyFill="1" applyBorder="1" applyAlignment="1" applyProtection="1">
      <alignment vertical="center"/>
    </xf>
    <xf numFmtId="0" fontId="5" fillId="4" borderId="1" xfId="0" applyFont="1" applyFill="1" applyBorder="1" applyAlignment="1" applyProtection="1">
      <alignment vertical="center" wrapText="1"/>
    </xf>
    <xf numFmtId="0" fontId="0" fillId="0" borderId="1" xfId="0" applyBorder="1" applyAlignment="1" applyProtection="1">
      <alignment horizontal="left" vertical="center"/>
    </xf>
    <xf numFmtId="3" fontId="0" fillId="15" borderId="1" xfId="0" applyNumberFormat="1" applyFill="1" applyBorder="1" applyAlignment="1" applyProtection="1">
      <alignment vertical="center"/>
    </xf>
    <xf numFmtId="0" fontId="1" fillId="2" borderId="7" xfId="0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 wrapText="1"/>
    </xf>
    <xf numFmtId="3" fontId="4" fillId="5" borderId="1" xfId="0" applyNumberFormat="1" applyFont="1" applyFill="1" applyBorder="1" applyAlignment="1" applyProtection="1">
      <alignment horizontal="center" vertical="center" wrapText="1"/>
    </xf>
    <xf numFmtId="3" fontId="4" fillId="5" borderId="1" xfId="0" applyNumberFormat="1" applyFont="1" applyFill="1" applyBorder="1" applyAlignment="1" applyProtection="1">
      <alignment vertical="center" wrapText="1"/>
    </xf>
    <xf numFmtId="3" fontId="8" fillId="5" borderId="1" xfId="0" applyNumberFormat="1" applyFont="1" applyFill="1" applyBorder="1" applyAlignment="1" applyProtection="1">
      <alignment horizontal="center" vertical="center" wrapText="1"/>
    </xf>
    <xf numFmtId="3" fontId="4" fillId="5" borderId="1" xfId="0" applyNumberFormat="1" applyFont="1" applyFill="1" applyBorder="1" applyAlignment="1" applyProtection="1">
      <alignment horizontal="center" vertical="center"/>
    </xf>
    <xf numFmtId="3" fontId="8" fillId="5" borderId="1" xfId="0" applyNumberFormat="1" applyFont="1" applyFill="1" applyBorder="1" applyAlignment="1" applyProtection="1">
      <alignment horizontal="center" vertical="center"/>
    </xf>
    <xf numFmtId="3" fontId="4" fillId="3" borderId="1" xfId="0" applyNumberFormat="1" applyFont="1" applyFill="1" applyBorder="1" applyAlignment="1" applyProtection="1">
      <alignment horizontal="left" vertical="center" wrapText="1"/>
    </xf>
    <xf numFmtId="3" fontId="4" fillId="3" borderId="1" xfId="0" applyNumberFormat="1" applyFont="1" applyFill="1" applyBorder="1" applyAlignment="1" applyProtection="1">
      <alignment horizontal="center" vertical="center" wrapText="1"/>
    </xf>
    <xf numFmtId="3" fontId="4" fillId="8" borderId="1" xfId="0" applyNumberFormat="1" applyFont="1" applyFill="1" applyBorder="1" applyAlignment="1" applyProtection="1">
      <alignment vertical="center" wrapText="1"/>
    </xf>
    <xf numFmtId="3" fontId="4" fillId="8" borderId="1" xfId="0" applyNumberFormat="1" applyFont="1" applyFill="1" applyBorder="1" applyAlignment="1" applyProtection="1">
      <alignment horizontal="center" vertical="center" wrapText="1"/>
    </xf>
    <xf numFmtId="0" fontId="4" fillId="8" borderId="1" xfId="0" applyFont="1" applyFill="1" applyBorder="1" applyAlignment="1" applyProtection="1">
      <alignment vertical="center" wrapText="1"/>
    </xf>
    <xf numFmtId="3" fontId="4" fillId="6" borderId="1" xfId="0" applyNumberFormat="1" applyFont="1" applyFill="1" applyBorder="1" applyAlignment="1" applyProtection="1">
      <alignment horizontal="left" vertical="center" wrapText="1"/>
    </xf>
    <xf numFmtId="3" fontId="4" fillId="6" borderId="1" xfId="0" applyNumberFormat="1" applyFont="1" applyFill="1" applyBorder="1" applyAlignment="1" applyProtection="1">
      <alignment vertical="center" wrapText="1"/>
    </xf>
    <xf numFmtId="3" fontId="4" fillId="6" borderId="1" xfId="0" applyNumberFormat="1" applyFont="1" applyFill="1" applyBorder="1" applyAlignment="1" applyProtection="1">
      <alignment horizontal="center" vertical="center" wrapText="1"/>
    </xf>
    <xf numFmtId="3" fontId="11" fillId="6" borderId="1" xfId="0" applyNumberFormat="1" applyFont="1" applyFill="1" applyBorder="1" applyAlignment="1" applyProtection="1">
      <alignment horizontal="left" vertical="center" wrapText="1"/>
    </xf>
    <xf numFmtId="3" fontId="4" fillId="7" borderId="1" xfId="0" applyNumberFormat="1" applyFont="1" applyFill="1" applyBorder="1" applyAlignment="1" applyProtection="1">
      <alignment horizontal="left" vertical="center" wrapText="1"/>
    </xf>
    <xf numFmtId="3" fontId="4" fillId="7" borderId="1" xfId="0" applyNumberFormat="1" applyFont="1" applyFill="1" applyBorder="1" applyAlignment="1" applyProtection="1">
      <alignment vertical="center" wrapText="1"/>
    </xf>
    <xf numFmtId="3" fontId="4" fillId="7" borderId="1" xfId="0" applyNumberFormat="1" applyFont="1" applyFill="1" applyBorder="1" applyAlignment="1" applyProtection="1">
      <alignment horizontal="center" vertical="center" wrapText="1"/>
    </xf>
    <xf numFmtId="0" fontId="4" fillId="7" borderId="1" xfId="0" applyFont="1" applyFill="1" applyBorder="1" applyAlignment="1" applyProtection="1">
      <alignment horizontal="left" vertical="center" wrapText="1"/>
    </xf>
    <xf numFmtId="3" fontId="1" fillId="2" borderId="10" xfId="0" applyNumberFormat="1" applyFont="1" applyFill="1" applyBorder="1" applyAlignment="1" applyProtection="1">
      <alignment horizontal="center" wrapText="1"/>
    </xf>
    <xf numFmtId="0" fontId="0" fillId="0" borderId="47" xfId="0" applyFill="1" applyBorder="1" applyProtection="1"/>
    <xf numFmtId="3" fontId="0" fillId="0" borderId="47" xfId="0" applyNumberFormat="1" applyFill="1" applyBorder="1" applyAlignment="1" applyProtection="1">
      <alignment horizontal="left"/>
    </xf>
    <xf numFmtId="3" fontId="0" fillId="0" borderId="47" xfId="0" applyNumberFormat="1" applyFill="1" applyBorder="1" applyAlignment="1" applyProtection="1">
      <alignment horizontal="left" vertical="center"/>
    </xf>
    <xf numFmtId="0" fontId="13" fillId="4" borderId="0" xfId="0" applyFont="1" applyFill="1" applyAlignment="1">
      <alignment horizontal="left" vertical="top" wrapText="1"/>
    </xf>
    <xf numFmtId="0" fontId="23" fillId="10" borderId="11" xfId="0" applyFont="1" applyFill="1" applyBorder="1" applyAlignment="1">
      <alignment horizontal="center" wrapText="1"/>
    </xf>
    <xf numFmtId="0" fontId="23" fillId="10" borderId="0" xfId="0" applyFont="1" applyFill="1" applyBorder="1" applyAlignment="1">
      <alignment horizontal="center" wrapText="1"/>
    </xf>
    <xf numFmtId="0" fontId="0" fillId="4" borderId="0" xfId="0" applyFill="1" applyAlignment="1">
      <alignment horizontal="left" vertical="top" wrapText="1"/>
    </xf>
    <xf numFmtId="0" fontId="0" fillId="0" borderId="47" xfId="0" applyFill="1" applyBorder="1" applyAlignment="1" applyProtection="1">
      <alignment horizontal="center"/>
      <protection locked="0"/>
    </xf>
    <xf numFmtId="0" fontId="49" fillId="15" borderId="29" xfId="0" applyFont="1" applyFill="1" applyBorder="1" applyAlignment="1" applyProtection="1">
      <alignment horizontal="center" vertical="center"/>
      <protection locked="0"/>
    </xf>
    <xf numFmtId="0" fontId="49" fillId="15" borderId="0" xfId="0" applyFont="1" applyFill="1" applyBorder="1" applyAlignment="1" applyProtection="1">
      <alignment horizontal="center" vertical="center"/>
      <protection locked="0"/>
    </xf>
    <xf numFmtId="0" fontId="23" fillId="10" borderId="12" xfId="0" applyFont="1" applyFill="1" applyBorder="1" applyAlignment="1" applyProtection="1">
      <alignment horizontal="center" wrapText="1"/>
    </xf>
    <xf numFmtId="0" fontId="23" fillId="10" borderId="13" xfId="0" applyFont="1" applyFill="1" applyBorder="1" applyAlignment="1" applyProtection="1">
      <alignment horizontal="center" wrapText="1"/>
    </xf>
    <xf numFmtId="0" fontId="23" fillId="10" borderId="5" xfId="0" applyFont="1" applyFill="1" applyBorder="1" applyAlignment="1" applyProtection="1">
      <alignment horizontal="center" wrapText="1"/>
    </xf>
    <xf numFmtId="0" fontId="23" fillId="10" borderId="6" xfId="0" applyFont="1" applyFill="1" applyBorder="1" applyAlignment="1" applyProtection="1">
      <alignment horizontal="center" wrapText="1"/>
    </xf>
    <xf numFmtId="0" fontId="14" fillId="3" borderId="47" xfId="0" applyFont="1" applyFill="1" applyBorder="1" applyAlignment="1" applyProtection="1">
      <alignment horizontal="center"/>
    </xf>
    <xf numFmtId="0" fontId="14" fillId="3" borderId="48" xfId="0" applyFont="1" applyFill="1" applyBorder="1" applyAlignment="1" applyProtection="1">
      <alignment horizontal="center"/>
    </xf>
    <xf numFmtId="0" fontId="14" fillId="3" borderId="49" xfId="0" applyFont="1" applyFill="1" applyBorder="1" applyAlignment="1" applyProtection="1">
      <alignment horizontal="center"/>
    </xf>
    <xf numFmtId="0" fontId="0" fillId="0" borderId="47" xfId="0" applyFill="1" applyBorder="1" applyAlignment="1" applyProtection="1">
      <alignment horizontal="left" wrapText="1"/>
      <protection locked="0"/>
    </xf>
    <xf numFmtId="0" fontId="0" fillId="0" borderId="47" xfId="0" applyFill="1" applyBorder="1" applyAlignment="1" applyProtection="1">
      <alignment horizontal="left"/>
      <protection locked="0"/>
    </xf>
    <xf numFmtId="0" fontId="45" fillId="4" borderId="2" xfId="0" applyFont="1" applyFill="1" applyBorder="1" applyAlignment="1">
      <alignment horizontal="left" vertical="center" wrapText="1"/>
    </xf>
    <xf numFmtId="0" fontId="45" fillId="4" borderId="4" xfId="0" applyFont="1" applyFill="1" applyBorder="1" applyAlignment="1">
      <alignment horizontal="left" vertical="center" wrapText="1"/>
    </xf>
    <xf numFmtId="0" fontId="45" fillId="4" borderId="3" xfId="0" applyFont="1" applyFill="1" applyBorder="1" applyAlignment="1">
      <alignment horizontal="left" vertical="center" wrapText="1"/>
    </xf>
    <xf numFmtId="0" fontId="23" fillId="10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0" fillId="14" borderId="1" xfId="0" applyFill="1" applyBorder="1" applyAlignment="1" applyProtection="1">
      <alignment horizontal="center" vertical="center"/>
      <protection locked="0"/>
    </xf>
    <xf numFmtId="0" fontId="50" fillId="0" borderId="2" xfId="0" applyFont="1" applyFill="1" applyBorder="1" applyAlignment="1">
      <alignment horizontal="left" vertical="center" wrapText="1"/>
    </xf>
    <xf numFmtId="0" fontId="50" fillId="0" borderId="3" xfId="0" applyFont="1" applyFill="1" applyBorder="1" applyAlignment="1">
      <alignment horizontal="left" vertical="center" wrapText="1"/>
    </xf>
    <xf numFmtId="0" fontId="1" fillId="2" borderId="16" xfId="0" applyFont="1" applyFill="1" applyBorder="1" applyAlignment="1">
      <alignment horizontal="left" vertical="center" wrapText="1"/>
    </xf>
    <xf numFmtId="0" fontId="1" fillId="2" borderId="31" xfId="0" applyFont="1" applyFill="1" applyBorder="1" applyAlignment="1">
      <alignment horizontal="left" vertical="center" wrapText="1"/>
    </xf>
    <xf numFmtId="0" fontId="1" fillId="2" borderId="46" xfId="0" applyFont="1" applyFill="1" applyBorder="1" applyAlignment="1">
      <alignment horizontal="left" vertical="center" wrapText="1"/>
    </xf>
    <xf numFmtId="0" fontId="0" fillId="14" borderId="30" xfId="0" applyFill="1" applyBorder="1" applyAlignment="1" applyProtection="1">
      <alignment horizontal="center" vertical="center"/>
      <protection locked="0"/>
    </xf>
    <xf numFmtId="0" fontId="0" fillId="14" borderId="35" xfId="0" applyFill="1" applyBorder="1" applyAlignment="1" applyProtection="1">
      <alignment horizontal="center" vertical="center"/>
      <protection locked="0"/>
    </xf>
    <xf numFmtId="0" fontId="0" fillId="14" borderId="32" xfId="0" applyFill="1" applyBorder="1" applyAlignment="1" applyProtection="1">
      <alignment horizontal="center" vertical="center"/>
      <protection locked="0"/>
    </xf>
    <xf numFmtId="0" fontId="1" fillId="2" borderId="4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0" fillId="14" borderId="50" xfId="0" applyFill="1" applyBorder="1" applyAlignment="1" applyProtection="1">
      <alignment horizontal="center" vertical="center"/>
      <protection locked="0"/>
    </xf>
    <xf numFmtId="0" fontId="0" fillId="13" borderId="30" xfId="0" applyFill="1" applyBorder="1" applyAlignment="1" applyProtection="1">
      <alignment horizontal="center" vertical="center"/>
      <protection locked="0"/>
    </xf>
    <xf numFmtId="0" fontId="0" fillId="13" borderId="35" xfId="0" applyFill="1" applyBorder="1" applyAlignment="1" applyProtection="1">
      <alignment horizontal="center" vertical="center"/>
      <protection locked="0"/>
    </xf>
    <xf numFmtId="0" fontId="0" fillId="13" borderId="50" xfId="0" applyFill="1" applyBorder="1" applyAlignment="1" applyProtection="1">
      <alignment horizontal="center" vertical="center"/>
      <protection locked="0"/>
    </xf>
    <xf numFmtId="0" fontId="46" fillId="10" borderId="30" xfId="0" applyFont="1" applyFill="1" applyBorder="1" applyAlignment="1">
      <alignment horizontal="left" vertical="center" wrapText="1"/>
    </xf>
    <xf numFmtId="0" fontId="46" fillId="10" borderId="35" xfId="0" applyFont="1" applyFill="1" applyBorder="1" applyAlignment="1">
      <alignment horizontal="left" vertical="center" wrapText="1"/>
    </xf>
    <xf numFmtId="0" fontId="46" fillId="10" borderId="32" xfId="0" applyFont="1" applyFill="1" applyBorder="1" applyAlignment="1">
      <alignment horizontal="left" vertical="center" wrapText="1"/>
    </xf>
    <xf numFmtId="0" fontId="46" fillId="10" borderId="18" xfId="0" applyFont="1" applyFill="1" applyBorder="1" applyAlignment="1">
      <alignment horizontal="left" vertical="center" wrapText="1"/>
    </xf>
    <xf numFmtId="0" fontId="0" fillId="0" borderId="29" xfId="0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2" fillId="12" borderId="32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0" fontId="14" fillId="3" borderId="43" xfId="0" applyFont="1" applyFill="1" applyBorder="1" applyAlignment="1">
      <alignment horizontal="center" vertical="center" wrapText="1"/>
    </xf>
    <xf numFmtId="0" fontId="14" fillId="3" borderId="32" xfId="0" applyFont="1" applyFill="1" applyBorder="1" applyAlignment="1">
      <alignment horizontal="center" vertical="center" wrapText="1"/>
    </xf>
    <xf numFmtId="0" fontId="0" fillId="14" borderId="43" xfId="0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 wrapText="1"/>
    </xf>
    <xf numFmtId="0" fontId="1" fillId="3" borderId="30" xfId="0" applyFont="1" applyFill="1" applyBorder="1" applyAlignment="1">
      <alignment horizontal="center" vertical="center" wrapText="1"/>
    </xf>
    <xf numFmtId="0" fontId="1" fillId="3" borderId="35" xfId="0" applyFont="1" applyFill="1" applyBorder="1" applyAlignment="1">
      <alignment horizontal="center" vertical="center" wrapText="1"/>
    </xf>
    <xf numFmtId="0" fontId="1" fillId="3" borderId="30" xfId="0" applyFont="1" applyFill="1" applyBorder="1" applyAlignment="1">
      <alignment horizontal="center" wrapText="1"/>
    </xf>
    <xf numFmtId="0" fontId="1" fillId="3" borderId="35" xfId="0" applyFont="1" applyFill="1" applyBorder="1" applyAlignment="1">
      <alignment horizontal="center" wrapText="1"/>
    </xf>
    <xf numFmtId="0" fontId="21" fillId="2" borderId="1" xfId="0" applyFont="1" applyFill="1" applyBorder="1" applyAlignment="1">
      <alignment horizontal="center" wrapText="1"/>
    </xf>
    <xf numFmtId="0" fontId="46" fillId="10" borderId="30" xfId="0" applyFont="1" applyFill="1" applyBorder="1" applyAlignment="1">
      <alignment horizontal="center" vertical="center" wrapText="1"/>
    </xf>
    <xf numFmtId="0" fontId="46" fillId="10" borderId="35" xfId="0" applyFont="1" applyFill="1" applyBorder="1" applyAlignment="1">
      <alignment horizontal="center" vertical="center" wrapText="1"/>
    </xf>
    <xf numFmtId="0" fontId="0" fillId="13" borderId="32" xfId="0" applyFill="1" applyBorder="1" applyAlignment="1" applyProtection="1">
      <alignment horizontal="center" vertical="center"/>
      <protection locked="0"/>
    </xf>
    <xf numFmtId="0" fontId="14" fillId="3" borderId="1" xfId="0" applyFont="1" applyFill="1" applyBorder="1" applyAlignment="1" applyProtection="1">
      <alignment horizontal="center" vertical="center" wrapText="1"/>
    </xf>
    <xf numFmtId="0" fontId="14" fillId="3" borderId="43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left" vertical="center"/>
    </xf>
    <xf numFmtId="0" fontId="1" fillId="2" borderId="32" xfId="0" applyFont="1" applyFill="1" applyBorder="1" applyAlignment="1" applyProtection="1">
      <alignment horizontal="center" vertical="center" wrapText="1"/>
    </xf>
    <xf numFmtId="2" fontId="10" fillId="4" borderId="1" xfId="0" applyNumberFormat="1" applyFont="1" applyFill="1" applyBorder="1" applyAlignment="1" applyProtection="1">
      <alignment horizontal="center" vertical="center"/>
    </xf>
    <xf numFmtId="2" fontId="10" fillId="4" borderId="43" xfId="0" applyNumberFormat="1" applyFont="1" applyFill="1" applyBorder="1" applyAlignment="1" applyProtection="1">
      <alignment horizontal="center" vertical="center"/>
    </xf>
    <xf numFmtId="2" fontId="10" fillId="4" borderId="32" xfId="0" applyNumberFormat="1" applyFont="1" applyFill="1" applyBorder="1" applyAlignment="1" applyProtection="1">
      <alignment horizontal="center" vertical="center"/>
    </xf>
    <xf numFmtId="3" fontId="5" fillId="15" borderId="30" xfId="0" applyNumberFormat="1" applyFont="1" applyFill="1" applyBorder="1" applyAlignment="1" applyProtection="1">
      <alignment horizontal="center" vertical="center"/>
    </xf>
    <xf numFmtId="3" fontId="5" fillId="15" borderId="35" xfId="0" applyNumberFormat="1" applyFont="1" applyFill="1" applyBorder="1" applyAlignment="1" applyProtection="1">
      <alignment horizontal="center" vertical="center"/>
    </xf>
    <xf numFmtId="3" fontId="5" fillId="15" borderId="32" xfId="0" applyNumberFormat="1" applyFont="1" applyFill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left" vertical="center" wrapText="1"/>
    </xf>
    <xf numFmtId="3" fontId="0" fillId="15" borderId="1" xfId="0" applyNumberFormat="1" applyFill="1" applyBorder="1" applyAlignment="1" applyProtection="1">
      <alignment horizontal="center" vertical="center"/>
    </xf>
    <xf numFmtId="0" fontId="0" fillId="10" borderId="18" xfId="0" applyFont="1" applyFill="1" applyBorder="1" applyAlignment="1" applyProtection="1">
      <alignment horizontal="center" wrapText="1"/>
    </xf>
    <xf numFmtId="0" fontId="14" fillId="3" borderId="30" xfId="0" applyFont="1" applyFill="1" applyBorder="1" applyAlignment="1" applyProtection="1">
      <alignment horizontal="left" vertical="center" wrapText="1"/>
    </xf>
    <xf numFmtId="0" fontId="14" fillId="3" borderId="35" xfId="0" applyFont="1" applyFill="1" applyBorder="1" applyAlignment="1" applyProtection="1">
      <alignment horizontal="left" vertical="center" wrapText="1"/>
    </xf>
    <xf numFmtId="0" fontId="14" fillId="3" borderId="32" xfId="0" applyFont="1" applyFill="1" applyBorder="1" applyAlignment="1" applyProtection="1">
      <alignment horizontal="left" vertical="center" wrapText="1"/>
    </xf>
    <xf numFmtId="0" fontId="14" fillId="3" borderId="27" xfId="0" applyFont="1" applyFill="1" applyBorder="1" applyAlignment="1" applyProtection="1">
      <alignment horizontal="left" vertical="center" wrapText="1"/>
    </xf>
    <xf numFmtId="0" fontId="14" fillId="3" borderId="28" xfId="0" applyFont="1" applyFill="1" applyBorder="1" applyAlignment="1" applyProtection="1">
      <alignment horizontal="left" vertical="center" wrapText="1"/>
    </xf>
    <xf numFmtId="0" fontId="14" fillId="3" borderId="30" xfId="0" applyFont="1" applyFill="1" applyBorder="1" applyAlignment="1" applyProtection="1">
      <alignment horizontal="center" vertical="center" wrapText="1"/>
    </xf>
    <xf numFmtId="0" fontId="14" fillId="3" borderId="35" xfId="0" applyFont="1" applyFill="1" applyBorder="1" applyAlignment="1" applyProtection="1">
      <alignment horizontal="center" vertical="center" wrapText="1"/>
    </xf>
    <xf numFmtId="0" fontId="14" fillId="3" borderId="32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 wrapText="1"/>
    </xf>
    <xf numFmtId="9" fontId="30" fillId="15" borderId="1" xfId="2" applyFont="1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left" vertical="center" wrapText="1"/>
    </xf>
    <xf numFmtId="10" fontId="8" fillId="14" borderId="30" xfId="2" applyNumberFormat="1" applyFont="1" applyFill="1" applyBorder="1" applyAlignment="1" applyProtection="1">
      <alignment horizontal="center" vertical="center" wrapText="1"/>
      <protection locked="0"/>
    </xf>
    <xf numFmtId="10" fontId="8" fillId="14" borderId="35" xfId="2" applyNumberFormat="1" applyFont="1" applyFill="1" applyBorder="1" applyAlignment="1" applyProtection="1">
      <alignment horizontal="center" vertical="center" wrapText="1"/>
      <protection locked="0"/>
    </xf>
    <xf numFmtId="2" fontId="23" fillId="10" borderId="28" xfId="0" applyNumberFormat="1" applyFont="1" applyFill="1" applyBorder="1" applyAlignment="1">
      <alignment horizontal="left" vertical="center" wrapText="1"/>
    </xf>
    <xf numFmtId="0" fontId="14" fillId="3" borderId="27" xfId="0" applyFont="1" applyFill="1" applyBorder="1" applyAlignment="1">
      <alignment horizontal="left" vertical="center" wrapText="1"/>
    </xf>
    <xf numFmtId="0" fontId="14" fillId="3" borderId="28" xfId="0" applyFont="1" applyFill="1" applyBorder="1" applyAlignment="1">
      <alignment horizontal="left" vertical="center" wrapText="1"/>
    </xf>
    <xf numFmtId="0" fontId="46" fillId="10" borderId="30" xfId="0" applyFont="1" applyFill="1" applyBorder="1" applyAlignment="1" applyProtection="1">
      <alignment horizontal="left" vertical="center" wrapText="1"/>
    </xf>
    <xf numFmtId="0" fontId="46" fillId="10" borderId="35" xfId="0" applyFont="1" applyFill="1" applyBorder="1" applyAlignment="1" applyProtection="1">
      <alignment horizontal="left" vertical="center" wrapText="1"/>
    </xf>
    <xf numFmtId="0" fontId="1" fillId="2" borderId="43" xfId="0" applyFont="1" applyFill="1" applyBorder="1" applyAlignment="1" applyProtection="1">
      <alignment horizontal="center" vertical="center" wrapText="1"/>
    </xf>
    <xf numFmtId="0" fontId="23" fillId="4" borderId="1" xfId="0" applyFont="1" applyFill="1" applyBorder="1" applyAlignment="1">
      <alignment horizontal="left" vertical="center" wrapText="1"/>
    </xf>
    <xf numFmtId="0" fontId="14" fillId="3" borderId="1" xfId="0" applyFont="1" applyFill="1" applyBorder="1" applyAlignment="1">
      <alignment horizontal="left" vertical="center" wrapText="1"/>
    </xf>
    <xf numFmtId="0" fontId="46" fillId="4" borderId="30" xfId="0" applyFont="1" applyFill="1" applyBorder="1" applyAlignment="1">
      <alignment horizontal="left" vertical="center" wrapText="1"/>
    </xf>
    <xf numFmtId="0" fontId="46" fillId="4" borderId="35" xfId="0" applyFont="1" applyFill="1" applyBorder="1" applyAlignment="1">
      <alignment horizontal="left" vertical="center" wrapText="1"/>
    </xf>
    <xf numFmtId="0" fontId="33" fillId="10" borderId="28" xfId="0" applyFont="1" applyFill="1" applyBorder="1" applyAlignment="1">
      <alignment horizontal="center"/>
    </xf>
    <xf numFmtId="0" fontId="23" fillId="10" borderId="30" xfId="0" applyFont="1" applyFill="1" applyBorder="1" applyAlignment="1">
      <alignment horizontal="left" vertical="center" wrapText="1"/>
    </xf>
    <xf numFmtId="0" fontId="23" fillId="10" borderId="35" xfId="0" applyFont="1" applyFill="1" applyBorder="1" applyAlignment="1">
      <alignment horizontal="left" vertical="center" wrapText="1"/>
    </xf>
    <xf numFmtId="0" fontId="23" fillId="10" borderId="32" xfId="0" applyFont="1" applyFill="1" applyBorder="1" applyAlignment="1">
      <alignment horizontal="left" vertical="center" wrapText="1"/>
    </xf>
    <xf numFmtId="3" fontId="53" fillId="3" borderId="30" xfId="0" applyNumberFormat="1" applyFont="1" applyFill="1" applyBorder="1" applyAlignment="1">
      <alignment horizontal="center" vertical="center" wrapText="1"/>
    </xf>
    <xf numFmtId="0" fontId="53" fillId="3" borderId="35" xfId="0" applyFont="1" applyFill="1" applyBorder="1" applyAlignment="1">
      <alignment horizontal="center" vertical="center" wrapText="1"/>
    </xf>
    <xf numFmtId="0" fontId="53" fillId="3" borderId="32" xfId="0" applyFont="1" applyFill="1" applyBorder="1" applyAlignment="1">
      <alignment horizontal="center" vertical="center" wrapText="1"/>
    </xf>
    <xf numFmtId="2" fontId="23" fillId="10" borderId="30" xfId="0" applyNumberFormat="1" applyFont="1" applyFill="1" applyBorder="1" applyAlignment="1">
      <alignment horizontal="center" vertical="center" wrapText="1"/>
    </xf>
    <xf numFmtId="2" fontId="23" fillId="10" borderId="35" xfId="0" applyNumberFormat="1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3" fontId="52" fillId="4" borderId="0" xfId="0" applyNumberFormat="1" applyFont="1" applyFill="1" applyAlignment="1">
      <alignment horizontal="center"/>
    </xf>
    <xf numFmtId="0" fontId="52" fillId="4" borderId="0" xfId="0" applyFont="1" applyFill="1" applyAlignment="1">
      <alignment horizontal="center"/>
    </xf>
    <xf numFmtId="0" fontId="15" fillId="2" borderId="30" xfId="0" applyFont="1" applyFill="1" applyBorder="1" applyAlignment="1">
      <alignment horizontal="left" vertical="center"/>
    </xf>
    <xf numFmtId="0" fontId="15" fillId="2" borderId="32" xfId="0" applyFont="1" applyFill="1" applyBorder="1" applyAlignment="1">
      <alignment horizontal="left" vertical="center"/>
    </xf>
    <xf numFmtId="0" fontId="23" fillId="10" borderId="11" xfId="0" applyFont="1" applyFill="1" applyBorder="1" applyAlignment="1">
      <alignment horizontal="center" vertical="center" wrapText="1"/>
    </xf>
    <xf numFmtId="0" fontId="23" fillId="10" borderId="0" xfId="0" applyFont="1" applyFill="1" applyBorder="1" applyAlignment="1">
      <alignment horizontal="center" vertical="center" wrapText="1"/>
    </xf>
    <xf numFmtId="0" fontId="14" fillId="3" borderId="30" xfId="0" applyFont="1" applyFill="1" applyBorder="1" applyAlignment="1">
      <alignment horizontal="center" vertical="center"/>
    </xf>
    <xf numFmtId="0" fontId="14" fillId="3" borderId="35" xfId="0" applyFont="1" applyFill="1" applyBorder="1" applyAlignment="1">
      <alignment horizontal="center" vertical="center"/>
    </xf>
    <xf numFmtId="0" fontId="14" fillId="3" borderId="32" xfId="0" applyFont="1" applyFill="1" applyBorder="1" applyAlignment="1">
      <alignment horizontal="center" vertical="center"/>
    </xf>
    <xf numFmtId="3" fontId="28" fillId="3" borderId="30" xfId="0" applyNumberFormat="1" applyFont="1" applyFill="1" applyBorder="1" applyAlignment="1">
      <alignment horizontal="center" vertical="center" wrapText="1"/>
    </xf>
    <xf numFmtId="0" fontId="28" fillId="3" borderId="35" xfId="0" applyFont="1" applyFill="1" applyBorder="1" applyAlignment="1">
      <alignment horizontal="center" vertical="center" wrapText="1"/>
    </xf>
    <xf numFmtId="0" fontId="28" fillId="3" borderId="32" xfId="0" applyFont="1" applyFill="1" applyBorder="1" applyAlignment="1">
      <alignment horizontal="center" vertical="center" wrapText="1"/>
    </xf>
    <xf numFmtId="0" fontId="0" fillId="10" borderId="30" xfId="0" applyFill="1" applyBorder="1" applyAlignment="1">
      <alignment horizontal="center"/>
    </xf>
    <xf numFmtId="0" fontId="0" fillId="10" borderId="35" xfId="0" applyFill="1" applyBorder="1" applyAlignment="1">
      <alignment horizontal="center"/>
    </xf>
    <xf numFmtId="0" fontId="0" fillId="10" borderId="32" xfId="0" applyFill="1" applyBorder="1" applyAlignment="1">
      <alignment horizontal="center"/>
    </xf>
    <xf numFmtId="3" fontId="10" fillId="3" borderId="1" xfId="0" applyNumberFormat="1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/>
    </xf>
    <xf numFmtId="0" fontId="15" fillId="2" borderId="35" xfId="0" applyFont="1" applyFill="1" applyBorder="1" applyAlignment="1">
      <alignment horizontal="left" vertical="center"/>
    </xf>
    <xf numFmtId="3" fontId="10" fillId="12" borderId="30" xfId="0" applyNumberFormat="1" applyFont="1" applyFill="1" applyBorder="1" applyAlignment="1">
      <alignment horizontal="center" vertical="center"/>
    </xf>
    <xf numFmtId="3" fontId="10" fillId="12" borderId="35" xfId="0" applyNumberFormat="1" applyFont="1" applyFill="1" applyBorder="1" applyAlignment="1">
      <alignment horizontal="center" vertical="center"/>
    </xf>
    <xf numFmtId="3" fontId="10" fillId="12" borderId="32" xfId="0" applyNumberFormat="1" applyFont="1" applyFill="1" applyBorder="1" applyAlignment="1">
      <alignment horizontal="center" vertical="center"/>
    </xf>
    <xf numFmtId="3" fontId="10" fillId="3" borderId="30" xfId="0" applyNumberFormat="1" applyFont="1" applyFill="1" applyBorder="1" applyAlignment="1">
      <alignment horizontal="center" vertical="center"/>
    </xf>
    <xf numFmtId="3" fontId="10" fillId="3" borderId="35" xfId="0" applyNumberFormat="1" applyFont="1" applyFill="1" applyBorder="1" applyAlignment="1">
      <alignment horizontal="center" vertical="center"/>
    </xf>
    <xf numFmtId="3" fontId="10" fillId="3" borderId="32" xfId="0" applyNumberFormat="1" applyFont="1" applyFill="1" applyBorder="1" applyAlignment="1">
      <alignment horizontal="center" vertical="center"/>
    </xf>
    <xf numFmtId="4" fontId="10" fillId="12" borderId="30" xfId="0" applyNumberFormat="1" applyFont="1" applyFill="1" applyBorder="1" applyAlignment="1">
      <alignment horizontal="center" vertical="center"/>
    </xf>
    <xf numFmtId="4" fontId="10" fillId="12" borderId="35" xfId="0" applyNumberFormat="1" applyFont="1" applyFill="1" applyBorder="1" applyAlignment="1">
      <alignment horizontal="center" vertical="center"/>
    </xf>
    <xf numFmtId="4" fontId="10" fillId="12" borderId="32" xfId="0" applyNumberFormat="1" applyFont="1" applyFill="1" applyBorder="1" applyAlignment="1">
      <alignment horizontal="center" vertical="center"/>
    </xf>
    <xf numFmtId="2" fontId="23" fillId="10" borderId="32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center" vertical="center"/>
    </xf>
    <xf numFmtId="3" fontId="10" fillId="3" borderId="1" xfId="0" applyNumberFormat="1" applyFont="1" applyFill="1" applyBorder="1" applyAlignment="1">
      <alignment horizontal="center" vertical="center" wrapText="1"/>
    </xf>
    <xf numFmtId="168" fontId="10" fillId="3" borderId="1" xfId="0" applyNumberFormat="1" applyFont="1" applyFill="1" applyBorder="1" applyAlignment="1">
      <alignment horizontal="center" vertical="center" wrapText="1"/>
    </xf>
    <xf numFmtId="168" fontId="10" fillId="3" borderId="30" xfId="0" applyNumberFormat="1" applyFont="1" applyFill="1" applyBorder="1" applyAlignment="1">
      <alignment horizontal="center" vertical="center" wrapText="1"/>
    </xf>
    <xf numFmtId="168" fontId="10" fillId="3" borderId="35" xfId="0" applyNumberFormat="1" applyFont="1" applyFill="1" applyBorder="1" applyAlignment="1">
      <alignment horizontal="center" vertical="center" wrapText="1"/>
    </xf>
    <xf numFmtId="168" fontId="10" fillId="3" borderId="32" xfId="0" applyNumberFormat="1" applyFont="1" applyFill="1" applyBorder="1" applyAlignment="1">
      <alignment horizontal="center" vertical="center" wrapText="1"/>
    </xf>
    <xf numFmtId="2" fontId="23" fillId="10" borderId="0" xfId="0" applyNumberFormat="1" applyFont="1" applyFill="1" applyBorder="1" applyAlignment="1">
      <alignment horizontal="center" vertical="center" wrapText="1"/>
    </xf>
    <xf numFmtId="4" fontId="10" fillId="3" borderId="1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left" vertical="center" wrapText="1"/>
    </xf>
    <xf numFmtId="0" fontId="8" fillId="4" borderId="30" xfId="0" applyFont="1" applyFill="1" applyBorder="1" applyAlignment="1">
      <alignment horizontal="center" vertical="center"/>
    </xf>
    <xf numFmtId="0" fontId="8" fillId="4" borderId="35" xfId="0" applyFont="1" applyFill="1" applyBorder="1" applyAlignment="1">
      <alignment horizontal="center" vertical="center"/>
    </xf>
    <xf numFmtId="0" fontId="8" fillId="4" borderId="32" xfId="0" applyFont="1" applyFill="1" applyBorder="1" applyAlignment="1">
      <alignment horizontal="center" vertical="center"/>
    </xf>
    <xf numFmtId="2" fontId="8" fillId="3" borderId="1" xfId="0" applyNumberFormat="1" applyFont="1" applyFill="1" applyBorder="1" applyAlignment="1">
      <alignment horizontal="center" vertical="center"/>
    </xf>
    <xf numFmtId="169" fontId="8" fillId="3" borderId="1" xfId="0" applyNumberFormat="1" applyFont="1" applyFill="1" applyBorder="1" applyAlignment="1">
      <alignment horizontal="center" vertical="center"/>
    </xf>
    <xf numFmtId="173" fontId="10" fillId="3" borderId="1" xfId="0" applyNumberFormat="1" applyFont="1" applyFill="1" applyBorder="1" applyAlignment="1">
      <alignment horizontal="center" vertical="center"/>
    </xf>
    <xf numFmtId="0" fontId="0" fillId="10" borderId="18" xfId="0" applyFill="1" applyBorder="1" applyAlignment="1">
      <alignment horizontal="center"/>
    </xf>
    <xf numFmtId="3" fontId="10" fillId="3" borderId="1" xfId="0" applyNumberFormat="1" applyFont="1" applyFill="1" applyBorder="1" applyAlignment="1">
      <alignment horizontal="center"/>
    </xf>
    <xf numFmtId="3" fontId="10" fillId="3" borderId="30" xfId="0" applyNumberFormat="1" applyFont="1" applyFill="1" applyBorder="1" applyAlignment="1">
      <alignment horizontal="center"/>
    </xf>
    <xf numFmtId="3" fontId="10" fillId="3" borderId="35" xfId="0" applyNumberFormat="1" applyFont="1" applyFill="1" applyBorder="1" applyAlignment="1">
      <alignment horizontal="center"/>
    </xf>
    <xf numFmtId="3" fontId="10" fillId="3" borderId="32" xfId="0" applyNumberFormat="1" applyFont="1" applyFill="1" applyBorder="1" applyAlignment="1">
      <alignment horizontal="center"/>
    </xf>
    <xf numFmtId="2" fontId="0" fillId="0" borderId="1" xfId="0" applyNumberFormat="1" applyFill="1" applyBorder="1" applyAlignment="1">
      <alignment horizontal="center" vertical="center"/>
    </xf>
    <xf numFmtId="2" fontId="8" fillId="0" borderId="1" xfId="0" applyNumberFormat="1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3" fontId="4" fillId="6" borderId="30" xfId="0" applyNumberFormat="1" applyFont="1" applyFill="1" applyBorder="1" applyAlignment="1">
      <alignment horizontal="center" vertical="center" wrapText="1"/>
    </xf>
    <xf numFmtId="3" fontId="4" fillId="6" borderId="32" xfId="0" applyNumberFormat="1" applyFont="1" applyFill="1" applyBorder="1" applyAlignment="1">
      <alignment horizontal="center" vertical="center" wrapText="1"/>
    </xf>
    <xf numFmtId="3" fontId="4" fillId="7" borderId="30" xfId="0" applyNumberFormat="1" applyFont="1" applyFill="1" applyBorder="1" applyAlignment="1">
      <alignment horizontal="center" vertical="center" wrapText="1"/>
    </xf>
    <xf numFmtId="3" fontId="4" fillId="7" borderId="32" xfId="0" applyNumberFormat="1" applyFont="1" applyFill="1" applyBorder="1" applyAlignment="1">
      <alignment horizontal="center" vertical="center" wrapText="1"/>
    </xf>
    <xf numFmtId="3" fontId="4" fillId="8" borderId="30" xfId="0" applyNumberFormat="1" applyFont="1" applyFill="1" applyBorder="1" applyAlignment="1">
      <alignment horizontal="center" vertical="center" wrapText="1"/>
    </xf>
    <xf numFmtId="3" fontId="4" fillId="8" borderId="32" xfId="0" applyNumberFormat="1" applyFont="1" applyFill="1" applyBorder="1" applyAlignment="1">
      <alignment horizontal="center" vertical="center" wrapText="1"/>
    </xf>
    <xf numFmtId="0" fontId="14" fillId="5" borderId="2" xfId="0" applyFont="1" applyFill="1" applyBorder="1" applyAlignment="1">
      <alignment horizontal="center" vertical="center" textRotation="90" wrapText="1"/>
    </xf>
    <xf numFmtId="0" fontId="14" fillId="5" borderId="3" xfId="0" applyFont="1" applyFill="1" applyBorder="1" applyAlignment="1">
      <alignment horizontal="center" vertical="center" textRotation="90" wrapText="1"/>
    </xf>
    <xf numFmtId="0" fontId="4" fillId="5" borderId="2" xfId="0" applyFont="1" applyFill="1" applyBorder="1" applyAlignment="1">
      <alignment horizontal="left" vertical="center" wrapText="1"/>
    </xf>
    <xf numFmtId="0" fontId="4" fillId="5" borderId="3" xfId="0" applyFont="1" applyFill="1" applyBorder="1" applyAlignment="1">
      <alignment horizontal="left" vertical="center" wrapText="1"/>
    </xf>
    <xf numFmtId="0" fontId="14" fillId="7" borderId="2" xfId="0" applyFont="1" applyFill="1" applyBorder="1" applyAlignment="1">
      <alignment horizontal="center" vertical="center" textRotation="90" wrapText="1"/>
    </xf>
    <xf numFmtId="0" fontId="14" fillId="7" borderId="4" xfId="0" applyFont="1" applyFill="1" applyBorder="1" applyAlignment="1">
      <alignment horizontal="center" vertical="center" textRotation="90" wrapText="1"/>
    </xf>
    <xf numFmtId="0" fontId="14" fillId="8" borderId="2" xfId="0" applyFont="1" applyFill="1" applyBorder="1" applyAlignment="1">
      <alignment horizontal="center" vertical="center" textRotation="90" wrapText="1"/>
    </xf>
    <xf numFmtId="0" fontId="14" fillId="8" borderId="4" xfId="0" applyFont="1" applyFill="1" applyBorder="1" applyAlignment="1">
      <alignment horizontal="center" vertical="center" textRotation="90" wrapText="1"/>
    </xf>
    <xf numFmtId="0" fontId="14" fillId="8" borderId="3" xfId="0" applyFont="1" applyFill="1" applyBorder="1" applyAlignment="1">
      <alignment horizontal="center" vertical="center" textRotation="90" wrapText="1"/>
    </xf>
    <xf numFmtId="0" fontId="4" fillId="8" borderId="2" xfId="0" applyFont="1" applyFill="1" applyBorder="1" applyAlignment="1">
      <alignment horizontal="left" vertical="center" wrapText="1"/>
    </xf>
    <xf numFmtId="0" fontId="4" fillId="8" borderId="4" xfId="0" applyFont="1" applyFill="1" applyBorder="1" applyAlignment="1">
      <alignment horizontal="left" vertical="center" wrapText="1"/>
    </xf>
    <xf numFmtId="0" fontId="4" fillId="8" borderId="3" xfId="0" applyFont="1" applyFill="1" applyBorder="1" applyAlignment="1">
      <alignment horizontal="left" vertical="center" wrapText="1"/>
    </xf>
    <xf numFmtId="0" fontId="14" fillId="6" borderId="2" xfId="0" applyFont="1" applyFill="1" applyBorder="1" applyAlignment="1">
      <alignment horizontal="center" vertical="center" textRotation="90"/>
    </xf>
    <xf numFmtId="0" fontId="14" fillId="6" borderId="4" xfId="0" applyFont="1" applyFill="1" applyBorder="1" applyAlignment="1">
      <alignment horizontal="center" vertical="center" textRotation="90"/>
    </xf>
    <xf numFmtId="0" fontId="14" fillId="6" borderId="3" xfId="0" applyFont="1" applyFill="1" applyBorder="1" applyAlignment="1">
      <alignment horizontal="center" vertical="center" textRotation="90"/>
    </xf>
    <xf numFmtId="0" fontId="4" fillId="6" borderId="2" xfId="0" applyFont="1" applyFill="1" applyBorder="1" applyAlignment="1">
      <alignment horizontal="left" vertical="center" wrapText="1"/>
    </xf>
    <xf numFmtId="0" fontId="4" fillId="6" borderId="3" xfId="0" applyFont="1" applyFill="1" applyBorder="1" applyAlignment="1">
      <alignment horizontal="left" vertical="center" wrapText="1"/>
    </xf>
    <xf numFmtId="0" fontId="16" fillId="3" borderId="2" xfId="0" applyFont="1" applyFill="1" applyBorder="1" applyAlignment="1">
      <alignment horizontal="left" vertical="center" wrapText="1"/>
    </xf>
    <xf numFmtId="0" fontId="16" fillId="3" borderId="3" xfId="0" applyFont="1" applyFill="1" applyBorder="1" applyAlignment="1">
      <alignment horizontal="left" vertical="center" wrapText="1"/>
    </xf>
    <xf numFmtId="0" fontId="14" fillId="3" borderId="2" xfId="0" applyFont="1" applyFill="1" applyBorder="1" applyAlignment="1">
      <alignment horizontal="center" vertical="center" textRotation="90" wrapText="1"/>
    </xf>
    <xf numFmtId="0" fontId="14" fillId="3" borderId="3" xfId="0" applyFont="1" applyFill="1" applyBorder="1" applyAlignment="1">
      <alignment horizontal="center" vertical="center" textRotation="90" wrapText="1"/>
    </xf>
    <xf numFmtId="168" fontId="4" fillId="6" borderId="30" xfId="0" applyNumberFormat="1" applyFont="1" applyFill="1" applyBorder="1" applyAlignment="1">
      <alignment horizontal="center" vertical="center" wrapText="1"/>
    </xf>
    <xf numFmtId="168" fontId="4" fillId="6" borderId="32" xfId="0" applyNumberFormat="1" applyFont="1" applyFill="1" applyBorder="1" applyAlignment="1">
      <alignment horizontal="center" vertical="center" wrapText="1"/>
    </xf>
    <xf numFmtId="0" fontId="14" fillId="2" borderId="27" xfId="0" applyFont="1" applyFill="1" applyBorder="1" applyAlignment="1">
      <alignment horizontal="center" vertical="center"/>
    </xf>
    <xf numFmtId="0" fontId="14" fillId="2" borderId="28" xfId="0" applyFont="1" applyFill="1" applyBorder="1" applyAlignment="1">
      <alignment horizontal="center" vertical="center"/>
    </xf>
    <xf numFmtId="0" fontId="14" fillId="2" borderId="30" xfId="0" applyFont="1" applyFill="1" applyBorder="1" applyAlignment="1">
      <alignment horizontal="center" vertical="center" wrapText="1"/>
    </xf>
    <xf numFmtId="0" fontId="14" fillId="2" borderId="32" xfId="0" applyFont="1" applyFill="1" applyBorder="1" applyAlignment="1">
      <alignment horizontal="center" vertical="center" wrapText="1"/>
    </xf>
    <xf numFmtId="3" fontId="1" fillId="2" borderId="41" xfId="0" applyNumberFormat="1" applyFont="1" applyFill="1" applyBorder="1" applyAlignment="1" applyProtection="1">
      <alignment horizontal="left" wrapText="1"/>
    </xf>
    <xf numFmtId="3" fontId="1" fillId="2" borderId="18" xfId="0" applyNumberFormat="1" applyFont="1" applyFill="1" applyBorder="1" applyAlignment="1" applyProtection="1">
      <alignment horizontal="left" wrapText="1"/>
    </xf>
    <xf numFmtId="3" fontId="4" fillId="3" borderId="2" xfId="0" applyNumberFormat="1" applyFont="1" applyFill="1" applyBorder="1" applyAlignment="1" applyProtection="1">
      <alignment horizontal="left" vertical="center" wrapText="1"/>
    </xf>
    <xf numFmtId="3" fontId="4" fillId="3" borderId="3" xfId="0" applyNumberFormat="1" applyFont="1" applyFill="1" applyBorder="1" applyAlignment="1" applyProtection="1">
      <alignment horizontal="left" vertical="center" wrapText="1"/>
    </xf>
    <xf numFmtId="3" fontId="4" fillId="3" borderId="38" xfId="0" applyNumberFormat="1" applyFont="1" applyFill="1" applyBorder="1" applyAlignment="1" applyProtection="1">
      <alignment horizontal="left" vertical="center" wrapText="1"/>
    </xf>
    <xf numFmtId="3" fontId="4" fillId="3" borderId="40" xfId="0" applyNumberFormat="1" applyFont="1" applyFill="1" applyBorder="1" applyAlignment="1" applyProtection="1">
      <alignment horizontal="left" vertical="center" wrapText="1"/>
    </xf>
    <xf numFmtId="3" fontId="4" fillId="7" borderId="7" xfId="0" applyNumberFormat="1" applyFont="1" applyFill="1" applyBorder="1" applyAlignment="1" applyProtection="1">
      <alignment horizontal="left" vertical="center" wrapText="1"/>
    </xf>
    <xf numFmtId="3" fontId="4" fillId="6" borderId="1" xfId="0" applyNumberFormat="1" applyFont="1" applyFill="1" applyBorder="1" applyAlignment="1" applyProtection="1">
      <alignment horizontal="left" vertical="center" wrapText="1"/>
    </xf>
    <xf numFmtId="3" fontId="4" fillId="6" borderId="38" xfId="0" applyNumberFormat="1" applyFont="1" applyFill="1" applyBorder="1" applyAlignment="1" applyProtection="1">
      <alignment horizontal="left" vertical="center" wrapText="1"/>
    </xf>
    <xf numFmtId="3" fontId="4" fillId="6" borderId="39" xfId="0" applyNumberFormat="1" applyFont="1" applyFill="1" applyBorder="1" applyAlignment="1" applyProtection="1">
      <alignment horizontal="left" vertical="center" wrapText="1"/>
    </xf>
    <xf numFmtId="3" fontId="4" fillId="6" borderId="40" xfId="0" applyNumberFormat="1" applyFont="1" applyFill="1" applyBorder="1" applyAlignment="1" applyProtection="1">
      <alignment horizontal="left" vertical="center" wrapText="1"/>
    </xf>
    <xf numFmtId="3" fontId="4" fillId="6" borderId="30" xfId="0" applyNumberFormat="1" applyFont="1" applyFill="1" applyBorder="1" applyAlignment="1" applyProtection="1">
      <alignment horizontal="center" vertical="center" wrapText="1"/>
    </xf>
    <xf numFmtId="3" fontId="4" fillId="6" borderId="32" xfId="0" applyNumberFormat="1" applyFont="1" applyFill="1" applyBorder="1" applyAlignment="1" applyProtection="1">
      <alignment horizontal="center" vertical="center" wrapText="1"/>
    </xf>
    <xf numFmtId="3" fontId="4" fillId="8" borderId="30" xfId="0" applyNumberFormat="1" applyFont="1" applyFill="1" applyBorder="1" applyAlignment="1" applyProtection="1">
      <alignment horizontal="center" vertical="center" wrapText="1"/>
    </xf>
    <xf numFmtId="3" fontId="4" fillId="8" borderId="32" xfId="0" applyNumberFormat="1" applyFont="1" applyFill="1" applyBorder="1" applyAlignment="1" applyProtection="1">
      <alignment horizontal="center" vertical="center" wrapText="1"/>
    </xf>
    <xf numFmtId="3" fontId="4" fillId="7" borderId="30" xfId="0" applyNumberFormat="1" applyFont="1" applyFill="1" applyBorder="1" applyAlignment="1" applyProtection="1">
      <alignment horizontal="center" vertical="center" wrapText="1"/>
    </xf>
    <xf numFmtId="3" fontId="4" fillId="7" borderId="32" xfId="0" applyNumberFormat="1" applyFont="1" applyFill="1" applyBorder="1" applyAlignment="1" applyProtection="1">
      <alignment horizontal="center" vertical="center" wrapText="1"/>
    </xf>
    <xf numFmtId="0" fontId="23" fillId="10" borderId="33" xfId="0" applyFont="1" applyFill="1" applyBorder="1" applyAlignment="1">
      <alignment horizontal="center" vertical="center" wrapText="1"/>
    </xf>
    <xf numFmtId="0" fontId="23" fillId="10" borderId="28" xfId="0" applyFont="1" applyFill="1" applyBorder="1" applyAlignment="1">
      <alignment horizontal="center" vertical="center" wrapText="1"/>
    </xf>
    <xf numFmtId="3" fontId="16" fillId="5" borderId="7" xfId="0" applyNumberFormat="1" applyFont="1" applyFill="1" applyBorder="1" applyAlignment="1" applyProtection="1">
      <alignment horizontal="left" vertical="center" wrapText="1"/>
    </xf>
    <xf numFmtId="3" fontId="16" fillId="5" borderId="1" xfId="0" applyNumberFormat="1" applyFont="1" applyFill="1" applyBorder="1" applyAlignment="1" applyProtection="1">
      <alignment horizontal="center" vertical="center" wrapText="1"/>
    </xf>
    <xf numFmtId="3" fontId="4" fillId="8" borderId="1" xfId="0" applyNumberFormat="1" applyFont="1" applyFill="1" applyBorder="1" applyAlignment="1" applyProtection="1">
      <alignment horizontal="left" vertical="center" wrapText="1"/>
    </xf>
    <xf numFmtId="3" fontId="4" fillId="8" borderId="38" xfId="0" applyNumberFormat="1" applyFont="1" applyFill="1" applyBorder="1" applyAlignment="1" applyProtection="1">
      <alignment horizontal="left" vertical="center" wrapText="1"/>
    </xf>
    <xf numFmtId="3" fontId="4" fillId="8" borderId="39" xfId="0" applyNumberFormat="1" applyFont="1" applyFill="1" applyBorder="1" applyAlignment="1" applyProtection="1">
      <alignment horizontal="left" vertical="center" wrapText="1"/>
    </xf>
    <xf numFmtId="3" fontId="4" fillId="8" borderId="40" xfId="0" applyNumberFormat="1" applyFont="1" applyFill="1" applyBorder="1" applyAlignment="1" applyProtection="1">
      <alignment horizontal="left" vertical="center" wrapText="1"/>
    </xf>
    <xf numFmtId="0" fontId="14" fillId="10" borderId="34" xfId="0" applyFont="1" applyFill="1" applyBorder="1" applyAlignment="1">
      <alignment horizontal="center" wrapText="1"/>
    </xf>
    <xf numFmtId="0" fontId="14" fillId="10" borderId="35" xfId="0" applyFont="1" applyFill="1" applyBorder="1" applyAlignment="1">
      <alignment horizontal="center" wrapText="1"/>
    </xf>
    <xf numFmtId="0" fontId="14" fillId="10" borderId="32" xfId="0" applyFont="1" applyFill="1" applyBorder="1" applyAlignment="1">
      <alignment horizontal="center" wrapText="1"/>
    </xf>
    <xf numFmtId="0" fontId="16" fillId="5" borderId="7" xfId="0" applyFont="1" applyFill="1" applyBorder="1" applyAlignment="1">
      <alignment horizontal="left" vertical="center" wrapText="1"/>
    </xf>
    <xf numFmtId="0" fontId="4" fillId="8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left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left" vertical="center" wrapText="1"/>
    </xf>
    <xf numFmtId="0" fontId="16" fillId="5" borderId="1" xfId="0" applyFont="1" applyFill="1" applyBorder="1" applyAlignment="1">
      <alignment horizontal="center" vertical="center" wrapText="1"/>
    </xf>
    <xf numFmtId="0" fontId="23" fillId="10" borderId="12" xfId="0" applyFont="1" applyFill="1" applyBorder="1" applyAlignment="1">
      <alignment horizontal="center" wrapText="1"/>
    </xf>
    <xf numFmtId="0" fontId="23" fillId="10" borderId="13" xfId="0" applyFont="1" applyFill="1" applyBorder="1" applyAlignment="1">
      <alignment horizontal="center" wrapText="1"/>
    </xf>
    <xf numFmtId="0" fontId="11" fillId="4" borderId="17" xfId="0" applyFont="1" applyFill="1" applyBorder="1" applyAlignment="1">
      <alignment horizontal="left" vertical="center" wrapText="1"/>
    </xf>
    <xf numFmtId="0" fontId="26" fillId="4" borderId="17" xfId="0" applyFont="1" applyFill="1" applyBorder="1" applyAlignment="1">
      <alignment horizontal="left" vertical="center" wrapText="1"/>
    </xf>
    <xf numFmtId="0" fontId="15" fillId="2" borderId="15" xfId="0" applyFont="1" applyFill="1" applyBorder="1" applyAlignment="1">
      <alignment horizontal="center" vertical="center" wrapText="1"/>
    </xf>
    <xf numFmtId="0" fontId="15" fillId="2" borderId="18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left" wrapText="1"/>
    </xf>
    <xf numFmtId="0" fontId="1" fillId="2" borderId="36" xfId="0" applyFont="1" applyFill="1" applyBorder="1" applyAlignment="1">
      <alignment horizontal="left" wrapText="1"/>
    </xf>
    <xf numFmtId="0" fontId="1" fillId="2" borderId="37" xfId="0" applyFont="1" applyFill="1" applyBorder="1" applyAlignment="1">
      <alignment horizontal="left" wrapText="1"/>
    </xf>
    <xf numFmtId="0" fontId="1" fillId="2" borderId="34" xfId="0" applyFont="1" applyFill="1" applyBorder="1" applyAlignment="1">
      <alignment horizontal="left" wrapText="1"/>
    </xf>
    <xf numFmtId="0" fontId="1" fillId="2" borderId="35" xfId="0" applyFont="1" applyFill="1" applyBorder="1" applyAlignment="1">
      <alignment horizontal="left" wrapText="1"/>
    </xf>
    <xf numFmtId="0" fontId="1" fillId="2" borderId="32" xfId="0" applyFont="1" applyFill="1" applyBorder="1" applyAlignment="1">
      <alignment horizontal="left" wrapText="1"/>
    </xf>
    <xf numFmtId="0" fontId="4" fillId="7" borderId="7" xfId="0" applyFont="1" applyFill="1" applyBorder="1" applyAlignment="1">
      <alignment horizontal="left" vertical="center" wrapText="1"/>
    </xf>
    <xf numFmtId="0" fontId="24" fillId="10" borderId="29" xfId="0" applyFont="1" applyFill="1" applyBorder="1" applyAlignment="1">
      <alignment horizontal="center" vertical="center" wrapText="1"/>
    </xf>
    <xf numFmtId="0" fontId="24" fillId="10" borderId="0" xfId="0" applyFont="1" applyFill="1" applyBorder="1" applyAlignment="1">
      <alignment horizontal="center" vertical="center" wrapText="1"/>
    </xf>
    <xf numFmtId="0" fontId="24" fillId="4" borderId="27" xfId="0" applyFont="1" applyFill="1" applyBorder="1" applyAlignment="1">
      <alignment horizontal="center" vertical="center" wrapText="1"/>
    </xf>
    <xf numFmtId="0" fontId="24" fillId="4" borderId="28" xfId="0" applyFont="1" applyFill="1" applyBorder="1" applyAlignment="1">
      <alignment horizontal="center" vertical="center" wrapText="1"/>
    </xf>
    <xf numFmtId="0" fontId="10" fillId="4" borderId="0" xfId="0" quotePrefix="1" applyFont="1" applyFill="1" applyAlignment="1">
      <alignment horizontal="center"/>
    </xf>
    <xf numFmtId="0" fontId="8" fillId="6" borderId="16" xfId="0" applyFont="1" applyFill="1" applyBorder="1" applyAlignment="1">
      <alignment horizontal="center" vertical="center" wrapText="1"/>
    </xf>
    <xf numFmtId="0" fontId="8" fillId="6" borderId="31" xfId="0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0" fontId="8" fillId="8" borderId="30" xfId="0" applyFont="1" applyFill="1" applyBorder="1" applyAlignment="1" applyProtection="1">
      <alignment horizontal="center" vertical="center" wrapText="1"/>
      <protection locked="0"/>
    </xf>
    <xf numFmtId="0" fontId="8" fillId="8" borderId="32" xfId="0" applyFont="1" applyFill="1" applyBorder="1" applyAlignment="1" applyProtection="1">
      <alignment horizontal="center" vertical="center" wrapText="1"/>
      <protection locked="0"/>
    </xf>
    <xf numFmtId="0" fontId="8" fillId="6" borderId="30" xfId="0" applyFont="1" applyFill="1" applyBorder="1" applyAlignment="1" applyProtection="1">
      <alignment horizontal="center" vertical="center" wrapText="1"/>
      <protection locked="0"/>
    </xf>
    <xf numFmtId="0" fontId="8" fillId="6" borderId="32" xfId="0" applyFont="1" applyFill="1" applyBorder="1" applyAlignment="1" applyProtection="1">
      <alignment horizontal="center" vertical="center" wrapText="1"/>
      <protection locked="0"/>
    </xf>
    <xf numFmtId="0" fontId="8" fillId="8" borderId="2" xfId="0" applyFont="1" applyFill="1" applyBorder="1" applyAlignment="1">
      <alignment horizontal="left" vertical="center" wrapText="1"/>
    </xf>
    <xf numFmtId="0" fontId="8" fillId="8" borderId="3" xfId="0" applyFont="1" applyFill="1" applyBorder="1" applyAlignment="1">
      <alignment horizontal="left" vertical="center" wrapText="1"/>
    </xf>
    <xf numFmtId="0" fontId="8" fillId="7" borderId="30" xfId="0" applyFont="1" applyFill="1" applyBorder="1" applyAlignment="1" applyProtection="1">
      <alignment horizontal="center" vertical="center" wrapText="1"/>
      <protection locked="0"/>
    </xf>
    <xf numFmtId="0" fontId="8" fillId="7" borderId="32" xfId="0" applyFont="1" applyFill="1" applyBorder="1" applyAlignment="1" applyProtection="1">
      <alignment horizontal="center" vertical="center" wrapText="1"/>
      <protection locked="0"/>
    </xf>
    <xf numFmtId="0" fontId="15" fillId="2" borderId="12" xfId="0" applyFont="1" applyFill="1" applyBorder="1" applyAlignment="1" applyProtection="1">
      <alignment horizontal="center"/>
    </xf>
    <xf numFmtId="0" fontId="15" fillId="2" borderId="14" xfId="0" applyFont="1" applyFill="1" applyBorder="1" applyAlignment="1" applyProtection="1">
      <alignment horizontal="center"/>
    </xf>
    <xf numFmtId="0" fontId="0" fillId="9" borderId="0" xfId="0" applyFill="1" applyAlignment="1" applyProtection="1">
      <alignment horizontal="center"/>
      <protection locked="0"/>
    </xf>
    <xf numFmtId="0" fontId="1" fillId="2" borderId="29" xfId="0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>
      <alignment horizontal="center" vertical="center"/>
    </xf>
    <xf numFmtId="0" fontId="11" fillId="4" borderId="26" xfId="0" applyFont="1" applyFill="1" applyBorder="1" applyAlignment="1" applyProtection="1">
      <alignment horizontal="left" vertical="center" wrapText="1"/>
    </xf>
    <xf numFmtId="0" fontId="11" fillId="4" borderId="42" xfId="0" applyFont="1" applyFill="1" applyBorder="1" applyAlignment="1" applyProtection="1">
      <alignment horizontal="left" vertical="center" wrapText="1"/>
    </xf>
    <xf numFmtId="0" fontId="1" fillId="2" borderId="29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15" fillId="3" borderId="48" xfId="0" applyFont="1" applyFill="1" applyBorder="1" applyAlignment="1" applyProtection="1">
      <alignment horizontal="center"/>
    </xf>
    <xf numFmtId="0" fontId="15" fillId="3" borderId="49" xfId="0" applyFont="1" applyFill="1" applyBorder="1" applyAlignment="1" applyProtection="1">
      <alignment horizontal="center"/>
    </xf>
    <xf numFmtId="0" fontId="15" fillId="3" borderId="47" xfId="0" applyFont="1" applyFill="1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47" xfId="0" applyFill="1" applyBorder="1" applyAlignment="1" applyProtection="1">
      <alignment horizontal="left" wrapText="1"/>
    </xf>
    <xf numFmtId="0" fontId="0" fillId="0" borderId="47" xfId="0" applyFill="1" applyBorder="1" applyAlignment="1" applyProtection="1">
      <alignment horizontal="left"/>
    </xf>
    <xf numFmtId="0" fontId="49" fillId="15" borderId="29" xfId="0" applyFont="1" applyFill="1" applyBorder="1" applyAlignment="1" applyProtection="1">
      <alignment horizontal="center" vertical="center"/>
    </xf>
    <xf numFmtId="0" fontId="49" fillId="15" borderId="0" xfId="0" applyFont="1" applyFill="1" applyBorder="1" applyAlignment="1" applyProtection="1">
      <alignment horizontal="center" vertical="center"/>
    </xf>
    <xf numFmtId="2" fontId="30" fillId="0" borderId="1" xfId="0" applyNumberFormat="1" applyFont="1" applyFill="1" applyBorder="1" applyAlignment="1" applyProtection="1">
      <alignment horizontal="center" vertical="center"/>
      <protection locked="0"/>
    </xf>
    <xf numFmtId="0" fontId="1" fillId="3" borderId="1" xfId="0" applyFont="1" applyFill="1" applyBorder="1" applyAlignment="1">
      <alignment horizontal="center" vertical="center" wrapText="1"/>
    </xf>
  </cellXfs>
  <cellStyles count="4">
    <cellStyle name="Komma" xfId="3" builtinId="3"/>
    <cellStyle name="Prozent" xfId="2" builtinId="5"/>
    <cellStyle name="Standard" xfId="0" builtinId="0"/>
    <cellStyle name="Standard 2" xfId="1" xr:uid="{00000000-0005-0000-0000-000003000000}"/>
  </cellStyles>
  <dxfs count="0"/>
  <tableStyles count="0" defaultTableStyle="TableStyleMedium2" defaultPivotStyle="PivotStyleMedium9"/>
  <colors>
    <mruColors>
      <color rgb="FFFFD966"/>
      <color rgb="FFFFCC66"/>
      <color rgb="FFA9DBCE"/>
      <color rgb="FF4A8E93"/>
      <color rgb="FFBCCF2F"/>
      <color rgb="FFFFCC00"/>
      <color rgb="FFFFD990"/>
      <color rgb="FFD3EDE6"/>
      <color rgb="FFF4B084"/>
      <color rgb="FFFFFF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5</xdr:row>
      <xdr:rowOff>66675</xdr:rowOff>
    </xdr:from>
    <xdr:to>
      <xdr:col>3</xdr:col>
      <xdr:colOff>238125</xdr:colOff>
      <xdr:row>9</xdr:row>
      <xdr:rowOff>47625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095500"/>
          <a:ext cx="22098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142876</xdr:rowOff>
    </xdr:from>
    <xdr:to>
      <xdr:col>1</xdr:col>
      <xdr:colOff>142875</xdr:colOff>
      <xdr:row>4</xdr:row>
      <xdr:rowOff>16511</xdr:rowOff>
    </xdr:to>
    <xdr:pic>
      <xdr:nvPicPr>
        <xdr:cNvPr id="3" name="Bild 5" descr="http://europa.eu/about-eu/basic-information/symbols/images/flag_yellow_low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743076"/>
          <a:ext cx="838200" cy="4927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238125</xdr:colOff>
      <xdr:row>2</xdr:row>
      <xdr:rowOff>180974</xdr:rowOff>
    </xdr:from>
    <xdr:to>
      <xdr:col>2</xdr:col>
      <xdr:colOff>704851</xdr:colOff>
      <xdr:row>3</xdr:row>
      <xdr:rowOff>295275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1400174"/>
          <a:ext cx="1000126" cy="304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390525</xdr:colOff>
      <xdr:row>1</xdr:row>
      <xdr:rowOff>114300</xdr:rowOff>
    </xdr:from>
    <xdr:to>
      <xdr:col>7</xdr:col>
      <xdr:colOff>276225</xdr:colOff>
      <xdr:row>26</xdr:row>
      <xdr:rowOff>38100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19100"/>
          <a:ext cx="4457700" cy="467677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96707</xdr:rowOff>
    </xdr:from>
    <xdr:to>
      <xdr:col>6</xdr:col>
      <xdr:colOff>74</xdr:colOff>
      <xdr:row>9</xdr:row>
      <xdr:rowOff>23675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1507"/>
          <a:ext cx="11597986" cy="13900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96707</xdr:rowOff>
    </xdr:from>
    <xdr:to>
      <xdr:col>6</xdr:col>
      <xdr:colOff>20205</xdr:colOff>
      <xdr:row>9</xdr:row>
      <xdr:rowOff>69395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96064"/>
          <a:ext cx="11375571" cy="14558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L24"/>
  <sheetViews>
    <sheetView tabSelected="1" workbookViewId="0">
      <selection sqref="A1:L1"/>
    </sheetView>
  </sheetViews>
  <sheetFormatPr baseColWidth="10" defaultColWidth="11.42578125" defaultRowHeight="15" x14ac:dyDescent="0.25"/>
  <cols>
    <col min="2" max="2" width="8" customWidth="1"/>
    <col min="12" max="12" width="15.42578125" customWidth="1"/>
  </cols>
  <sheetData>
    <row r="1" spans="1:12" ht="24" customHeight="1" x14ac:dyDescent="0.35">
      <c r="A1" s="337" t="s">
        <v>13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</row>
    <row r="2" spans="1:12" x14ac:dyDescent="0.25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</row>
    <row r="3" spans="1:12" x14ac:dyDescent="0.25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</row>
    <row r="4" spans="1:12" ht="33.75" customHeight="1" x14ac:dyDescent="0.25">
      <c r="A4" s="25"/>
      <c r="B4" s="25"/>
      <c r="C4" s="25"/>
      <c r="D4" s="336" t="s">
        <v>14</v>
      </c>
      <c r="E4" s="336"/>
      <c r="F4" s="336"/>
      <c r="G4" s="336"/>
      <c r="H4" s="336"/>
      <c r="I4" s="336"/>
      <c r="J4" s="336"/>
      <c r="K4" s="25"/>
      <c r="L4" s="25"/>
    </row>
    <row r="5" spans="1:12" x14ac:dyDescent="0.25">
      <c r="A5" s="25"/>
      <c r="B5" s="25"/>
      <c r="C5" s="28"/>
      <c r="D5" s="25"/>
      <c r="E5" s="25"/>
      <c r="F5" s="25"/>
      <c r="G5" s="25"/>
      <c r="H5" s="25"/>
      <c r="I5" s="25"/>
      <c r="J5" s="25"/>
      <c r="K5" s="25"/>
      <c r="L5" s="25"/>
    </row>
    <row r="6" spans="1:12" x14ac:dyDescent="0.25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</row>
    <row r="7" spans="1:12" x14ac:dyDescent="0.25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</row>
    <row r="8" spans="1:12" x14ac:dyDescent="0.25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</row>
    <row r="9" spans="1:12" x14ac:dyDescent="0.25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</row>
    <row r="10" spans="1:12" x14ac:dyDescent="0.25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</row>
    <row r="11" spans="1:12" x14ac:dyDescent="0.25">
      <c r="A11" s="25" t="s">
        <v>30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</row>
    <row r="12" spans="1:12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</row>
    <row r="13" spans="1:12" ht="16.5" customHeight="1" x14ac:dyDescent="0.25">
      <c r="A13" s="29" t="s">
        <v>401</v>
      </c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</row>
    <row r="14" spans="1:12" ht="138.75" customHeight="1" x14ac:dyDescent="0.25">
      <c r="A14" s="339" t="s">
        <v>402</v>
      </c>
      <c r="B14" s="339"/>
      <c r="C14" s="339"/>
      <c r="D14" s="339"/>
      <c r="E14" s="339"/>
      <c r="F14" s="339"/>
      <c r="G14" s="339"/>
      <c r="H14" s="339"/>
      <c r="I14" s="339"/>
      <c r="J14" s="339"/>
      <c r="K14" s="339"/>
      <c r="L14" s="339"/>
    </row>
    <row r="15" spans="1:12" ht="21" customHeight="1" x14ac:dyDescent="0.25">
      <c r="A15" s="276"/>
      <c r="B15" s="137"/>
      <c r="C15" s="276"/>
      <c r="D15" s="276"/>
      <c r="E15" s="276"/>
      <c r="F15" s="276"/>
      <c r="G15" s="276"/>
      <c r="H15" s="276"/>
      <c r="I15" s="276"/>
      <c r="J15" s="276"/>
      <c r="K15" s="276"/>
      <c r="L15" s="276"/>
    </row>
    <row r="16" spans="1:12" x14ac:dyDescent="0.25">
      <c r="A16" s="80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</row>
    <row r="17" spans="1:12" x14ac:dyDescent="0.25">
      <c r="A17" s="29" t="s">
        <v>29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</row>
    <row r="18" spans="1:12" x14ac:dyDescent="0.25">
      <c r="A18" s="179"/>
      <c r="B18" s="25" t="s">
        <v>463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</row>
    <row r="19" spans="1:12" x14ac:dyDescent="0.25">
      <c r="A19" s="172"/>
      <c r="B19" s="25" t="s">
        <v>461</v>
      </c>
      <c r="C19" s="64"/>
      <c r="D19" s="25"/>
      <c r="E19" s="25"/>
      <c r="F19" s="25"/>
      <c r="G19" s="25"/>
      <c r="H19" s="25"/>
      <c r="I19" s="25"/>
      <c r="J19" s="25"/>
      <c r="K19" s="25"/>
      <c r="L19" s="25"/>
    </row>
    <row r="20" spans="1:12" x14ac:dyDescent="0.25">
      <c r="A20" s="178"/>
      <c r="B20" s="25" t="s">
        <v>387</v>
      </c>
      <c r="C20" s="64"/>
      <c r="D20" s="25"/>
      <c r="E20" s="25"/>
      <c r="F20" s="25"/>
      <c r="G20" s="25"/>
      <c r="H20" s="25"/>
      <c r="I20" s="25"/>
      <c r="J20" s="25"/>
      <c r="K20" s="25"/>
      <c r="L20" s="25"/>
    </row>
    <row r="21" spans="1:12" x14ac:dyDescent="0.25">
      <c r="A21" s="25"/>
      <c r="B21" s="62" t="s">
        <v>400</v>
      </c>
      <c r="C21" s="25"/>
      <c r="D21" s="25"/>
      <c r="E21" s="25"/>
      <c r="F21" s="25"/>
      <c r="G21" s="25"/>
      <c r="H21" s="25"/>
      <c r="I21" s="25"/>
      <c r="J21" s="25"/>
      <c r="K21" s="25"/>
      <c r="L21" s="25"/>
    </row>
    <row r="22" spans="1:12" x14ac:dyDescent="0.25">
      <c r="A22" s="143"/>
      <c r="B22" s="25" t="s">
        <v>462</v>
      </c>
      <c r="C22" s="25"/>
      <c r="D22" s="25"/>
      <c r="E22" s="25"/>
      <c r="F22" s="25"/>
      <c r="G22" s="25"/>
      <c r="H22" s="25"/>
      <c r="I22" s="25"/>
      <c r="J22" s="25"/>
      <c r="K22" s="25"/>
      <c r="L22" s="25"/>
    </row>
    <row r="23" spans="1:12" x14ac:dyDescent="0.25">
      <c r="A23" s="14"/>
      <c r="B23" s="25" t="s">
        <v>145</v>
      </c>
      <c r="C23" s="25"/>
      <c r="D23" s="25"/>
      <c r="E23" s="25"/>
      <c r="F23" s="25"/>
      <c r="G23" s="25"/>
      <c r="H23" s="25"/>
      <c r="I23" s="25"/>
      <c r="J23" s="25"/>
      <c r="K23" s="25"/>
      <c r="L23" s="25"/>
    </row>
    <row r="24" spans="1:12" x14ac:dyDescent="0.25">
      <c r="C24" s="25"/>
      <c r="D24" s="25"/>
      <c r="E24" s="25"/>
      <c r="F24" s="25"/>
      <c r="G24" s="25"/>
      <c r="H24" s="25"/>
      <c r="I24" s="25"/>
      <c r="J24" s="25"/>
      <c r="K24" s="25"/>
      <c r="L24" s="25"/>
    </row>
  </sheetData>
  <sheetProtection algorithmName="SHA-512" hashValue="oyABPQWOuHyAZW7FgS/7jNkBu26EmhNTxJHsuva3KPx5btC5uASvd6b20pq+3ieS8PmInZ7tcxsnlfbOJ1bEyg==" saltValue="fi6QcMHCZ78wHWC4oOvwYw==" spinCount="100000" sheet="1" objects="1" scenarios="1" selectLockedCells="1"/>
  <mergeCells count="3">
    <mergeCell ref="D4:J4"/>
    <mergeCell ref="A1:L1"/>
    <mergeCell ref="A14:L14"/>
  </mergeCells>
  <pageMargins left="0.25" right="0.25" top="0.75" bottom="0.75" header="0.3" footer="0.3"/>
  <pageSetup paperSize="9" scale="7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1">
    <tabColor theme="4" tint="0.59999389629810485"/>
    <pageSetUpPr fitToPage="1"/>
  </sheetPr>
  <dimension ref="A1:AM54"/>
  <sheetViews>
    <sheetView workbookViewId="0">
      <selection sqref="A1:K20"/>
    </sheetView>
  </sheetViews>
  <sheetFormatPr baseColWidth="10" defaultColWidth="11.42578125" defaultRowHeight="15" x14ac:dyDescent="0.25"/>
  <cols>
    <col min="1" max="1" width="59.140625" customWidth="1"/>
    <col min="2" max="2" width="17.5703125" customWidth="1"/>
    <col min="3" max="3" width="17.42578125" customWidth="1"/>
    <col min="4" max="5" width="18.42578125" customWidth="1"/>
    <col min="6" max="6" width="19.5703125" customWidth="1"/>
    <col min="7" max="7" width="17.5703125" customWidth="1"/>
    <col min="8" max="8" width="15.85546875" customWidth="1"/>
    <col min="9" max="10" width="17.42578125" customWidth="1"/>
    <col min="11" max="11" width="19.42578125" customWidth="1"/>
    <col min="12" max="39" width="11.42578125" style="25"/>
  </cols>
  <sheetData>
    <row r="1" spans="1:11" ht="21.75" customHeight="1" thickBot="1" x14ac:dyDescent="0.3">
      <c r="A1" s="481" t="s">
        <v>147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</row>
    <row r="2" spans="1:11" ht="19.5" thickBot="1" x14ac:dyDescent="0.3">
      <c r="A2" s="75" t="s">
        <v>151</v>
      </c>
      <c r="B2" s="384" t="s">
        <v>227</v>
      </c>
      <c r="C2" s="384"/>
      <c r="D2" s="384"/>
      <c r="E2" s="384"/>
      <c r="F2" s="384"/>
      <c r="G2" s="384" t="s">
        <v>227</v>
      </c>
      <c r="H2" s="384"/>
      <c r="I2" s="384"/>
      <c r="J2" s="384"/>
      <c r="K2" s="384"/>
    </row>
    <row r="3" spans="1:11" ht="48" customHeight="1" thickBot="1" x14ac:dyDescent="0.3">
      <c r="A3" s="136" t="s">
        <v>403</v>
      </c>
      <c r="B3" s="46" t="s">
        <v>257</v>
      </c>
      <c r="C3" s="46" t="s">
        <v>410</v>
      </c>
      <c r="D3" s="46" t="s">
        <v>255</v>
      </c>
      <c r="E3" s="46" t="s">
        <v>256</v>
      </c>
      <c r="F3" s="47" t="s">
        <v>253</v>
      </c>
      <c r="G3" s="46" t="s">
        <v>257</v>
      </c>
      <c r="H3" s="46" t="s">
        <v>410</v>
      </c>
      <c r="I3" s="46" t="s">
        <v>255</v>
      </c>
      <c r="J3" s="46" t="s">
        <v>256</v>
      </c>
      <c r="K3" s="47" t="s">
        <v>253</v>
      </c>
    </row>
    <row r="4" spans="1:11" ht="30.75" thickBot="1" x14ac:dyDescent="0.3">
      <c r="A4" s="140" t="s">
        <v>404</v>
      </c>
      <c r="B4" s="485">
        <f>'4. Input_traffic data'!D22</f>
        <v>0</v>
      </c>
      <c r="C4" s="486"/>
      <c r="D4" s="486"/>
      <c r="E4" s="486"/>
      <c r="F4" s="487"/>
      <c r="G4" s="485">
        <f>'4. Input_traffic data'!P22</f>
        <v>0</v>
      </c>
      <c r="H4" s="486"/>
      <c r="I4" s="486"/>
      <c r="J4" s="486"/>
      <c r="K4" s="487"/>
    </row>
    <row r="5" spans="1:11" ht="30.75" thickBot="1" x14ac:dyDescent="0.3">
      <c r="A5" s="146" t="s">
        <v>349</v>
      </c>
      <c r="B5" s="483">
        <f>SUM(B4:F4)</f>
        <v>0</v>
      </c>
      <c r="C5" s="483"/>
      <c r="D5" s="483"/>
      <c r="E5" s="483"/>
      <c r="F5" s="483"/>
      <c r="G5" s="483">
        <f>SUM(G4:K4)</f>
        <v>0</v>
      </c>
      <c r="H5" s="483"/>
      <c r="I5" s="483"/>
      <c r="J5" s="483"/>
      <c r="K5" s="483"/>
    </row>
    <row r="6" spans="1:11" ht="30.75" thickBot="1" x14ac:dyDescent="0.3">
      <c r="A6" s="146" t="s">
        <v>350</v>
      </c>
      <c r="B6" s="461">
        <f>B5*'5. Input_monetary values'!$B$32</f>
        <v>0</v>
      </c>
      <c r="C6" s="461"/>
      <c r="D6" s="461"/>
      <c r="E6" s="461"/>
      <c r="F6" s="461"/>
      <c r="G6" s="483">
        <f>G5*'5. Input_monetary values'!$B$32</f>
        <v>0</v>
      </c>
      <c r="H6" s="483"/>
      <c r="I6" s="483"/>
      <c r="J6" s="483"/>
      <c r="K6" s="483"/>
    </row>
    <row r="7" spans="1:11" ht="12.75" customHeight="1" thickBot="1" x14ac:dyDescent="0.3">
      <c r="A7" s="458"/>
      <c r="B7" s="459"/>
      <c r="C7" s="459"/>
      <c r="D7" s="459"/>
      <c r="E7" s="459"/>
      <c r="F7" s="459"/>
      <c r="G7" s="459"/>
      <c r="H7" s="459"/>
      <c r="I7" s="459"/>
      <c r="J7" s="459"/>
      <c r="K7" s="460"/>
    </row>
    <row r="8" spans="1:11" ht="16.5" thickBot="1" x14ac:dyDescent="0.3">
      <c r="A8" s="474" t="s">
        <v>397</v>
      </c>
      <c r="B8" s="474"/>
      <c r="C8" s="474"/>
      <c r="D8" s="474"/>
      <c r="E8" s="474"/>
      <c r="F8" s="474"/>
      <c r="G8" s="474"/>
      <c r="H8" s="474"/>
      <c r="I8" s="474"/>
      <c r="J8" s="474"/>
      <c r="K8" s="474"/>
    </row>
    <row r="9" spans="1:11" ht="30.75" thickBot="1" x14ac:dyDescent="0.3">
      <c r="A9" s="140" t="s">
        <v>405</v>
      </c>
      <c r="B9" s="485">
        <f>'4. Input_traffic data'!D23</f>
        <v>0</v>
      </c>
      <c r="C9" s="486"/>
      <c r="D9" s="486"/>
      <c r="E9" s="486"/>
      <c r="F9" s="487"/>
      <c r="G9" s="485">
        <f>'4. Input_traffic data'!P23</f>
        <v>0</v>
      </c>
      <c r="H9" s="486"/>
      <c r="I9" s="486"/>
      <c r="J9" s="486"/>
      <c r="K9" s="487"/>
    </row>
    <row r="10" spans="1:11" ht="30.75" thickBot="1" x14ac:dyDescent="0.3">
      <c r="A10" s="140" t="s">
        <v>406</v>
      </c>
      <c r="B10" s="485">
        <f>'4. Input_traffic data'!D24</f>
        <v>0</v>
      </c>
      <c r="C10" s="486"/>
      <c r="D10" s="486"/>
      <c r="E10" s="486"/>
      <c r="F10" s="487"/>
      <c r="G10" s="485">
        <f>'4. Input_traffic data'!P24</f>
        <v>0</v>
      </c>
      <c r="H10" s="486"/>
      <c r="I10" s="486"/>
      <c r="J10" s="486"/>
      <c r="K10" s="487"/>
    </row>
    <row r="11" spans="1:11" ht="30.75" thickBot="1" x14ac:dyDescent="0.3">
      <c r="A11" s="146" t="s">
        <v>345</v>
      </c>
      <c r="B11" s="490">
        <f>SUM(B9:F9)+SUM(B10:F10)</f>
        <v>0</v>
      </c>
      <c r="C11" s="490"/>
      <c r="D11" s="490"/>
      <c r="E11" s="490"/>
      <c r="F11" s="490"/>
      <c r="G11" s="490">
        <f>SUM(G9:K9)+SUM(G10:K10)</f>
        <v>0</v>
      </c>
      <c r="H11" s="490"/>
      <c r="I11" s="490"/>
      <c r="J11" s="490"/>
      <c r="K11" s="490"/>
    </row>
    <row r="12" spans="1:11" ht="30.75" thickBot="1" x14ac:dyDescent="0.3">
      <c r="A12" s="146" t="s">
        <v>346</v>
      </c>
      <c r="B12" s="461">
        <f>(SUM(B9:F9)*'5. Input_monetary values'!$B$33+SUM(B10:F10)*'5. Input_monetary values'!$B$34)</f>
        <v>0</v>
      </c>
      <c r="C12" s="461"/>
      <c r="D12" s="461"/>
      <c r="E12" s="461"/>
      <c r="F12" s="461"/>
      <c r="G12" s="461">
        <f>(SUM(G9:K9)*'5. Input_monetary values'!$B$33+SUM(G10:K10)*'5. Input_monetary values'!$B$34)</f>
        <v>0</v>
      </c>
      <c r="H12" s="461"/>
      <c r="I12" s="461"/>
      <c r="J12" s="461"/>
      <c r="K12" s="461"/>
    </row>
    <row r="13" spans="1:11" ht="13.5" customHeight="1" thickBot="1" x14ac:dyDescent="0.3">
      <c r="A13" s="458"/>
      <c r="B13" s="459"/>
      <c r="C13" s="459"/>
      <c r="D13" s="459"/>
      <c r="E13" s="459"/>
      <c r="F13" s="459"/>
      <c r="G13" s="459"/>
      <c r="H13" s="459"/>
      <c r="I13" s="459"/>
      <c r="J13" s="459"/>
      <c r="K13" s="460"/>
    </row>
    <row r="14" spans="1:11" ht="18.75" customHeight="1" thickBot="1" x14ac:dyDescent="0.3">
      <c r="A14" s="484" t="s">
        <v>398</v>
      </c>
      <c r="B14" s="484"/>
      <c r="C14" s="484"/>
      <c r="D14" s="484"/>
      <c r="E14" s="484"/>
      <c r="F14" s="13"/>
      <c r="G14" s="13"/>
      <c r="H14" s="13"/>
      <c r="I14" s="13"/>
      <c r="J14" s="13"/>
      <c r="K14" s="13"/>
    </row>
    <row r="15" spans="1:11" ht="45.75" thickBot="1" x14ac:dyDescent="0.3">
      <c r="A15" s="74" t="s">
        <v>151</v>
      </c>
      <c r="B15" s="43" t="s">
        <v>227</v>
      </c>
      <c r="C15" s="43" t="s">
        <v>228</v>
      </c>
      <c r="D15" s="43" t="s">
        <v>227</v>
      </c>
      <c r="E15" s="43" t="s">
        <v>228</v>
      </c>
      <c r="F15" s="25"/>
      <c r="G15" s="25"/>
      <c r="H15" s="25"/>
      <c r="I15" s="25"/>
      <c r="J15" s="25"/>
      <c r="K15" s="25"/>
    </row>
    <row r="16" spans="1:11" ht="34.5" customHeight="1" thickBot="1" x14ac:dyDescent="0.3">
      <c r="A16" s="46" t="s">
        <v>291</v>
      </c>
      <c r="B16" s="44" t="s">
        <v>220</v>
      </c>
      <c r="C16" s="44" t="s">
        <v>220</v>
      </c>
      <c r="D16" s="44" t="s">
        <v>34</v>
      </c>
      <c r="E16" s="44" t="s">
        <v>34</v>
      </c>
      <c r="F16" s="25"/>
      <c r="G16" s="25"/>
      <c r="I16" s="25"/>
      <c r="J16" s="25"/>
      <c r="K16" s="25"/>
    </row>
    <row r="17" spans="1:11" ht="15.75" thickBot="1" x14ac:dyDescent="0.3">
      <c r="A17" s="42" t="s">
        <v>348</v>
      </c>
      <c r="B17" s="45">
        <f>('4. Input_traffic data'!D28*'4. Input_traffic data'!D29/60)/('6. Conversion_factors'!C48*52/60)*(1-'6. Conversion_factors'!C50)</f>
        <v>0</v>
      </c>
      <c r="C17" s="45">
        <f>('4. Input_traffic data'!E28*'4. Input_traffic data'!E29/60)/('6. Conversion_factors'!D48*52/60)*(1-'6. Conversion_factors'!D50)</f>
        <v>0</v>
      </c>
      <c r="D17" s="129">
        <f>('4. Input_traffic data'!F28*'4. Input_traffic data'!F29/60)/('6. Conversion_factors'!E48*52/60)*(1-'6. Conversion_factors'!E50)</f>
        <v>0</v>
      </c>
      <c r="E17" s="129">
        <f>('4. Input_traffic data'!G28*'4. Input_traffic data'!G29/60)/('6. Conversion_factors'!F48*52/60)*(1-'6. Conversion_factors'!F50)</f>
        <v>0</v>
      </c>
      <c r="F17" s="25"/>
      <c r="G17" s="25"/>
      <c r="H17" s="52"/>
      <c r="I17" s="25"/>
      <c r="J17" s="25"/>
      <c r="K17" s="25"/>
    </row>
    <row r="18" spans="1:11" ht="30.75" thickBot="1" x14ac:dyDescent="0.3">
      <c r="A18" s="30" t="s">
        <v>347</v>
      </c>
      <c r="B18" s="488">
        <f>C17*'4. Input_traffic data'!E30*'6. Conversion_factors'!D49*'6. Conversion_factors'!B43/100000-B17*'4. Input_traffic data'!D30*'6. Conversion_factors'!C49*'6. Conversion_factors'!B43/100000</f>
        <v>0</v>
      </c>
      <c r="C18" s="488"/>
      <c r="D18" s="489">
        <f>E17*'4. Input_traffic data'!G30*'6. Conversion_factors'!F49*'6. Conversion_factors'!C43/100000-D17*'4. Input_traffic data'!F30*'6. Conversion_factors'!E49*'6. Conversion_factors'!C43/100000</f>
        <v>0</v>
      </c>
      <c r="E18" s="489"/>
      <c r="F18" s="107"/>
      <c r="G18" s="25"/>
      <c r="I18" s="25"/>
      <c r="J18" s="25"/>
      <c r="K18" s="25"/>
    </row>
    <row r="19" spans="1:11" ht="30.75" thickBot="1" x14ac:dyDescent="0.3">
      <c r="A19" s="30" t="s">
        <v>101</v>
      </c>
      <c r="B19" s="461">
        <f>B18*'5. Input_monetary values'!B38</f>
        <v>0</v>
      </c>
      <c r="C19" s="461"/>
      <c r="D19" s="461">
        <f>D18*'5. Input_monetary values'!B38</f>
        <v>0</v>
      </c>
      <c r="E19" s="461"/>
      <c r="F19" s="107"/>
      <c r="G19" s="25"/>
      <c r="I19" s="25"/>
      <c r="J19" s="25"/>
      <c r="K19" s="25"/>
    </row>
    <row r="20" spans="1:11" ht="15.75" thickBot="1" x14ac:dyDescent="0.3">
      <c r="A20" s="458"/>
      <c r="B20" s="459"/>
      <c r="C20" s="459"/>
      <c r="D20" s="459"/>
      <c r="E20" s="459"/>
      <c r="F20" s="459"/>
      <c r="G20" s="459"/>
      <c r="H20" s="459"/>
      <c r="I20" s="459"/>
      <c r="J20" s="459"/>
      <c r="K20" s="460"/>
    </row>
    <row r="21" spans="1:11" s="25" customFormat="1" x14ac:dyDescent="0.25"/>
    <row r="22" spans="1:11" s="25" customFormat="1" x14ac:dyDescent="0.25"/>
    <row r="23" spans="1:11" s="25" customFormat="1" x14ac:dyDescent="0.25"/>
    <row r="24" spans="1:11" s="25" customFormat="1" x14ac:dyDescent="0.25"/>
    <row r="25" spans="1:11" s="25" customFormat="1" x14ac:dyDescent="0.25"/>
    <row r="26" spans="1:11" s="25" customFormat="1" x14ac:dyDescent="0.25"/>
    <row r="27" spans="1:11" s="25" customFormat="1" x14ac:dyDescent="0.25"/>
    <row r="28" spans="1:11" s="25" customFormat="1" x14ac:dyDescent="0.25"/>
    <row r="29" spans="1:11" s="25" customFormat="1" x14ac:dyDescent="0.25"/>
    <row r="30" spans="1:11" s="25" customFormat="1" x14ac:dyDescent="0.25"/>
    <row r="31" spans="1:11" s="25" customFormat="1" x14ac:dyDescent="0.25"/>
    <row r="32" spans="1:11" s="25" customFormat="1" x14ac:dyDescent="0.25"/>
    <row r="33" s="25" customFormat="1" x14ac:dyDescent="0.25"/>
    <row r="34" s="25" customFormat="1" x14ac:dyDescent="0.25"/>
    <row r="35" s="25" customFormat="1" x14ac:dyDescent="0.25"/>
    <row r="36" s="25" customFormat="1" x14ac:dyDescent="0.25"/>
    <row r="37" s="25" customFormat="1" x14ac:dyDescent="0.25"/>
    <row r="38" s="25" customFormat="1" x14ac:dyDescent="0.25"/>
    <row r="39" s="25" customFormat="1" x14ac:dyDescent="0.25"/>
    <row r="40" s="25" customFormat="1" x14ac:dyDescent="0.25"/>
    <row r="41" s="25" customFormat="1" x14ac:dyDescent="0.25"/>
    <row r="42" s="25" customFormat="1" x14ac:dyDescent="0.25"/>
    <row r="43" s="25" customFormat="1" x14ac:dyDescent="0.25"/>
    <row r="44" s="25" customFormat="1" x14ac:dyDescent="0.25"/>
    <row r="45" s="25" customFormat="1" x14ac:dyDescent="0.25"/>
    <row r="46" s="25" customFormat="1" x14ac:dyDescent="0.25"/>
    <row r="47" s="25" customFormat="1" x14ac:dyDescent="0.25"/>
    <row r="48" s="25" customFormat="1" x14ac:dyDescent="0.25"/>
    <row r="49" s="25" customFormat="1" x14ac:dyDescent="0.25"/>
    <row r="50" s="25" customFormat="1" x14ac:dyDescent="0.25"/>
    <row r="51" s="25" customFormat="1" x14ac:dyDescent="0.25"/>
    <row r="52" s="25" customFormat="1" x14ac:dyDescent="0.25"/>
    <row r="53" s="25" customFormat="1" x14ac:dyDescent="0.25"/>
    <row r="54" s="25" customFormat="1" x14ac:dyDescent="0.25"/>
  </sheetData>
  <sheetProtection algorithmName="SHA-512" hashValue="4TSlswPSyL8hTBhLDFfELPjJifqHgelk7Ic8cZWyt/8wnc/PVkR5TtA5XWyZN/W9uaGLteSw5FdfufGAM1prrg==" saltValue="RaVoqgGMBQaHQI6j5PjRBw==" spinCount="100000" sheet="1" objects="1" scenarios="1" selectLockedCells="1"/>
  <mergeCells count="26">
    <mergeCell ref="A1:K1"/>
    <mergeCell ref="B19:C19"/>
    <mergeCell ref="B18:C18"/>
    <mergeCell ref="D18:E18"/>
    <mergeCell ref="D19:E19"/>
    <mergeCell ref="B12:F12"/>
    <mergeCell ref="G12:K12"/>
    <mergeCell ref="B2:F2"/>
    <mergeCell ref="G2:K2"/>
    <mergeCell ref="A8:K8"/>
    <mergeCell ref="B11:F11"/>
    <mergeCell ref="G11:K11"/>
    <mergeCell ref="B5:F5"/>
    <mergeCell ref="B6:F6"/>
    <mergeCell ref="B4:F4"/>
    <mergeCell ref="G4:K4"/>
    <mergeCell ref="A20:K20"/>
    <mergeCell ref="G5:K5"/>
    <mergeCell ref="A7:K7"/>
    <mergeCell ref="A14:E14"/>
    <mergeCell ref="A13:K13"/>
    <mergeCell ref="G6:K6"/>
    <mergeCell ref="B9:F9"/>
    <mergeCell ref="B10:F10"/>
    <mergeCell ref="G9:K9"/>
    <mergeCell ref="G10:K10"/>
  </mergeCells>
  <pageMargins left="0.7" right="0.7" top="0.78740157499999996" bottom="0.78740157499999996" header="0.3" footer="0.3"/>
  <pageSetup paperSize="9" scale="71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2">
    <tabColor rgb="FFFFD966"/>
    <pageSetUpPr fitToPage="1"/>
  </sheetPr>
  <dimension ref="A1:AQ53"/>
  <sheetViews>
    <sheetView zoomScale="90" zoomScaleNormal="90" workbookViewId="0">
      <pane ySplit="3" topLeftCell="A4" activePane="bottomLeft" state="frozen"/>
      <selection pane="bottomLeft" sqref="A1:Y24"/>
    </sheetView>
  </sheetViews>
  <sheetFormatPr baseColWidth="10" defaultColWidth="11.42578125" defaultRowHeight="15" x14ac:dyDescent="0.25"/>
  <cols>
    <col min="1" max="1" width="62.5703125" bestFit="1" customWidth="1"/>
    <col min="2" max="3" width="19.140625" customWidth="1"/>
    <col min="4" max="4" width="16.42578125" customWidth="1"/>
    <col min="5" max="6" width="15.42578125" customWidth="1"/>
    <col min="7" max="7" width="15.5703125" customWidth="1"/>
    <col min="8" max="8" width="17.85546875" customWidth="1"/>
    <col min="9" max="9" width="18.140625" customWidth="1"/>
    <col min="10" max="10" width="16.140625" customWidth="1"/>
    <col min="11" max="13" width="20.42578125" customWidth="1"/>
    <col min="14" max="14" width="17.5703125" customWidth="1"/>
    <col min="15" max="15" width="16" customWidth="1"/>
    <col min="16" max="16" width="16.5703125" customWidth="1"/>
    <col min="17" max="17" width="15.5703125" customWidth="1"/>
    <col min="18" max="18" width="16.42578125" customWidth="1"/>
    <col min="19" max="19" width="15.5703125" customWidth="1"/>
    <col min="20" max="21" width="16.5703125" customWidth="1"/>
    <col min="22" max="22" width="16.85546875" customWidth="1"/>
    <col min="23" max="23" width="19" customWidth="1"/>
    <col min="24" max="24" width="17.85546875" customWidth="1"/>
    <col min="25" max="25" width="20.42578125" customWidth="1"/>
    <col min="26" max="26" width="15.140625" style="25" customWidth="1"/>
    <col min="27" max="43" width="11.42578125" style="25"/>
  </cols>
  <sheetData>
    <row r="1" spans="1:43" ht="20.25" customHeight="1" thickBot="1" x14ac:dyDescent="0.3">
      <c r="A1" s="442" t="s">
        <v>148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73"/>
    </row>
    <row r="2" spans="1:43" ht="19.5" customHeight="1" thickBot="1" x14ac:dyDescent="0.3">
      <c r="A2" s="75" t="s">
        <v>151</v>
      </c>
      <c r="B2" s="384" t="s">
        <v>227</v>
      </c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 t="s">
        <v>228</v>
      </c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</row>
    <row r="3" spans="1:43" ht="51" customHeight="1" thickBot="1" x14ac:dyDescent="0.3">
      <c r="A3" s="63" t="s">
        <v>409</v>
      </c>
      <c r="B3" s="46" t="s">
        <v>315</v>
      </c>
      <c r="C3" s="46" t="s">
        <v>247</v>
      </c>
      <c r="D3" s="47" t="s">
        <v>246</v>
      </c>
      <c r="E3" s="46" t="s">
        <v>235</v>
      </c>
      <c r="F3" s="46" t="s">
        <v>236</v>
      </c>
      <c r="G3" s="46" t="s">
        <v>237</v>
      </c>
      <c r="H3" s="46" t="s">
        <v>255</v>
      </c>
      <c r="I3" s="46" t="s">
        <v>263</v>
      </c>
      <c r="J3" s="46" t="s">
        <v>264</v>
      </c>
      <c r="K3" s="47" t="s">
        <v>242</v>
      </c>
      <c r="L3" s="47" t="s">
        <v>243</v>
      </c>
      <c r="M3" s="47" t="s">
        <v>245</v>
      </c>
      <c r="N3" s="46" t="s">
        <v>231</v>
      </c>
      <c r="O3" s="46" t="s">
        <v>232</v>
      </c>
      <c r="P3" s="47" t="s">
        <v>248</v>
      </c>
      <c r="Q3" s="46" t="s">
        <v>235</v>
      </c>
      <c r="R3" s="46" t="s">
        <v>236</v>
      </c>
      <c r="S3" s="46" t="s">
        <v>237</v>
      </c>
      <c r="T3" s="46" t="s">
        <v>233</v>
      </c>
      <c r="U3" s="46" t="s">
        <v>263</v>
      </c>
      <c r="V3" s="46" t="s">
        <v>238</v>
      </c>
      <c r="W3" s="47" t="s">
        <v>242</v>
      </c>
      <c r="X3" s="47" t="s">
        <v>243</v>
      </c>
      <c r="Y3" s="47" t="s">
        <v>245</v>
      </c>
    </row>
    <row r="4" spans="1:43" ht="30.75" thickBot="1" x14ac:dyDescent="0.3">
      <c r="A4" s="48" t="s">
        <v>197</v>
      </c>
      <c r="B4" s="53">
        <f>'4. Input_traffic data'!D5</f>
        <v>0</v>
      </c>
      <c r="C4" s="53">
        <f>'4. Input_traffic data'!E5</f>
        <v>0</v>
      </c>
      <c r="D4" s="53">
        <f>'4. Input_traffic data'!F5</f>
        <v>0</v>
      </c>
      <c r="E4" s="53">
        <f>'4. Input_traffic data'!G5</f>
        <v>0</v>
      </c>
      <c r="F4" s="53">
        <f>'4. Input_traffic data'!H5</f>
        <v>0</v>
      </c>
      <c r="G4" s="53">
        <f>'4. Input_traffic data'!I5</f>
        <v>0</v>
      </c>
      <c r="H4" s="53">
        <f>'4. Input_traffic data'!J5</f>
        <v>0</v>
      </c>
      <c r="I4" s="53">
        <f>'4. Input_traffic data'!K5</f>
        <v>0</v>
      </c>
      <c r="J4" s="53">
        <f>'4. Input_traffic data'!L5</f>
        <v>0</v>
      </c>
      <c r="K4" s="53">
        <f>'4. Input_traffic data'!M5</f>
        <v>0</v>
      </c>
      <c r="L4" s="53">
        <f>'4. Input_traffic data'!N5</f>
        <v>0</v>
      </c>
      <c r="M4" s="53">
        <f>'4. Input_traffic data'!O5</f>
        <v>0</v>
      </c>
      <c r="N4" s="53">
        <f>'4. Input_traffic data'!P5</f>
        <v>0</v>
      </c>
      <c r="O4" s="53">
        <f>'4. Input_traffic data'!Q5</f>
        <v>0</v>
      </c>
      <c r="P4" s="53">
        <f>'4. Input_traffic data'!R5</f>
        <v>0</v>
      </c>
      <c r="Q4" s="53">
        <f>'4. Input_traffic data'!S5</f>
        <v>0</v>
      </c>
      <c r="R4" s="53">
        <f>'4. Input_traffic data'!T5</f>
        <v>0</v>
      </c>
      <c r="S4" s="53">
        <f>'4. Input_traffic data'!U5</f>
        <v>0</v>
      </c>
      <c r="T4" s="53">
        <f>'4. Input_traffic data'!V5</f>
        <v>0</v>
      </c>
      <c r="U4" s="53">
        <f>'4. Input_traffic data'!W5</f>
        <v>0</v>
      </c>
      <c r="V4" s="53">
        <f>'4. Input_traffic data'!X5</f>
        <v>0</v>
      </c>
      <c r="W4" s="53">
        <f>'4. Input_traffic data'!Y5</f>
        <v>0</v>
      </c>
      <c r="X4" s="53">
        <f>'4. Input_traffic data'!Z5</f>
        <v>0</v>
      </c>
      <c r="Y4" s="53">
        <f>'4. Input_traffic data'!AA5</f>
        <v>0</v>
      </c>
    </row>
    <row r="5" spans="1:43" s="142" customFormat="1" ht="30.75" thickBot="1" x14ac:dyDescent="0.3">
      <c r="A5" s="140" t="s">
        <v>193</v>
      </c>
      <c r="B5" s="141">
        <f>'4. Input_traffic data'!D7</f>
        <v>0</v>
      </c>
      <c r="C5" s="141">
        <f>'4. Input_traffic data'!E7</f>
        <v>0</v>
      </c>
      <c r="D5" s="141">
        <f>'4. Input_traffic data'!F7</f>
        <v>0</v>
      </c>
      <c r="E5" s="141">
        <f>'4. Input_traffic data'!G7</f>
        <v>0</v>
      </c>
      <c r="F5" s="141">
        <f>'4. Input_traffic data'!H7</f>
        <v>0</v>
      </c>
      <c r="G5" s="141">
        <f>'4. Input_traffic data'!I7</f>
        <v>0</v>
      </c>
      <c r="H5" s="141">
        <f>'4. Input_traffic data'!J7</f>
        <v>0</v>
      </c>
      <c r="I5" s="141">
        <f>'4. Input_traffic data'!K7</f>
        <v>0</v>
      </c>
      <c r="J5" s="141">
        <f>'4. Input_traffic data'!L7</f>
        <v>0</v>
      </c>
      <c r="K5" s="141">
        <f>'4. Input_traffic data'!M7</f>
        <v>0</v>
      </c>
      <c r="L5" s="141">
        <f>'4. Input_traffic data'!N7</f>
        <v>0</v>
      </c>
      <c r="M5" s="141">
        <f>'4. Input_traffic data'!O7</f>
        <v>0</v>
      </c>
      <c r="N5" s="141">
        <f>'4. Input_traffic data'!P7</f>
        <v>0</v>
      </c>
      <c r="O5" s="141">
        <f>'4. Input_traffic data'!Q7</f>
        <v>0</v>
      </c>
      <c r="P5" s="141">
        <f>'4. Input_traffic data'!R7</f>
        <v>0</v>
      </c>
      <c r="Q5" s="141">
        <f>'4. Input_traffic data'!S7</f>
        <v>0</v>
      </c>
      <c r="R5" s="141">
        <f>'4. Input_traffic data'!T7</f>
        <v>0</v>
      </c>
      <c r="S5" s="141">
        <f>'4. Input_traffic data'!U7</f>
        <v>0</v>
      </c>
      <c r="T5" s="141">
        <f>'4. Input_traffic data'!V7</f>
        <v>0</v>
      </c>
      <c r="U5" s="141">
        <f>'4. Input_traffic data'!W7</f>
        <v>0</v>
      </c>
      <c r="V5" s="141">
        <f>'4. Input_traffic data'!X7</f>
        <v>0</v>
      </c>
      <c r="W5" s="141">
        <f>'4. Input_traffic data'!Y7</f>
        <v>0</v>
      </c>
      <c r="X5" s="141">
        <f>'4. Input_traffic data'!Z7</f>
        <v>0</v>
      </c>
      <c r="Y5" s="141">
        <f>'4. Input_traffic data'!AA7</f>
        <v>0</v>
      </c>
      <c r="Z5" s="247"/>
      <c r="AA5" s="247"/>
      <c r="AB5" s="247"/>
      <c r="AC5" s="247"/>
      <c r="AD5" s="247"/>
      <c r="AE5" s="247"/>
      <c r="AF5" s="247"/>
      <c r="AG5" s="247"/>
      <c r="AH5" s="247"/>
      <c r="AI5" s="247"/>
      <c r="AJ5" s="247"/>
      <c r="AK5" s="247"/>
      <c r="AL5" s="247"/>
      <c r="AM5" s="247"/>
      <c r="AN5" s="247"/>
      <c r="AO5" s="247"/>
      <c r="AP5" s="247"/>
      <c r="AQ5" s="247"/>
    </row>
    <row r="6" spans="1:43" s="142" customFormat="1" ht="30.75" thickBot="1" x14ac:dyDescent="0.3">
      <c r="A6" s="140" t="s">
        <v>215</v>
      </c>
      <c r="B6" s="141">
        <f>'4. Input_traffic data'!D$7*'4. Input_traffic data'!D8</f>
        <v>0</v>
      </c>
      <c r="C6" s="141">
        <f>'4. Input_traffic data'!E$7*'4. Input_traffic data'!E8</f>
        <v>0</v>
      </c>
      <c r="D6" s="141">
        <f>'4. Input_traffic data'!F$7*'4. Input_traffic data'!F8</f>
        <v>0</v>
      </c>
      <c r="E6" s="141">
        <f>'4. Input_traffic data'!G$7*'4. Input_traffic data'!G8</f>
        <v>0</v>
      </c>
      <c r="F6" s="141">
        <f>'4. Input_traffic data'!H$7*'4. Input_traffic data'!H8</f>
        <v>0</v>
      </c>
      <c r="G6" s="141">
        <f>'4. Input_traffic data'!I$7*'4. Input_traffic data'!I8</f>
        <v>0</v>
      </c>
      <c r="H6" s="141">
        <f>'4. Input_traffic data'!J$7*'4. Input_traffic data'!J8</f>
        <v>0</v>
      </c>
      <c r="I6" s="141">
        <f>'4. Input_traffic data'!K$7*'4. Input_traffic data'!K8</f>
        <v>0</v>
      </c>
      <c r="J6" s="141">
        <f>'4. Input_traffic data'!L$7*'4. Input_traffic data'!L8</f>
        <v>0</v>
      </c>
      <c r="K6" s="141">
        <f>'4. Input_traffic data'!M$7*'4. Input_traffic data'!M8</f>
        <v>0</v>
      </c>
      <c r="L6" s="141">
        <f>'4. Input_traffic data'!N$7*'4. Input_traffic data'!N8</f>
        <v>0</v>
      </c>
      <c r="M6" s="141">
        <f>'4. Input_traffic data'!O$7*'4. Input_traffic data'!O8</f>
        <v>0</v>
      </c>
      <c r="N6" s="141">
        <f>'4. Input_traffic data'!P$7*'4. Input_traffic data'!P8</f>
        <v>0</v>
      </c>
      <c r="O6" s="141">
        <f>'4. Input_traffic data'!Q$7*'4. Input_traffic data'!Q8</f>
        <v>0</v>
      </c>
      <c r="P6" s="141">
        <f>'4. Input_traffic data'!R$7*'4. Input_traffic data'!R8</f>
        <v>0</v>
      </c>
      <c r="Q6" s="141">
        <f>'4. Input_traffic data'!S$7*'4. Input_traffic data'!S8</f>
        <v>0</v>
      </c>
      <c r="R6" s="141">
        <f>'4. Input_traffic data'!T$7*'4. Input_traffic data'!T8</f>
        <v>0</v>
      </c>
      <c r="S6" s="141">
        <f>'4. Input_traffic data'!U$7*'4. Input_traffic data'!U8</f>
        <v>0</v>
      </c>
      <c r="T6" s="141">
        <f>'4. Input_traffic data'!V$7*'4. Input_traffic data'!V8</f>
        <v>0</v>
      </c>
      <c r="U6" s="141">
        <f>'4. Input_traffic data'!W$7*'4. Input_traffic data'!W8</f>
        <v>0</v>
      </c>
      <c r="V6" s="141">
        <f>'4. Input_traffic data'!X$7*'4. Input_traffic data'!X8</f>
        <v>0</v>
      </c>
      <c r="W6" s="141">
        <f>'4. Input_traffic data'!Y$7*'4. Input_traffic data'!Y8</f>
        <v>0</v>
      </c>
      <c r="X6" s="141">
        <f>'4. Input_traffic data'!Z$7*'4. Input_traffic data'!Z8</f>
        <v>0</v>
      </c>
      <c r="Y6" s="141">
        <f>'4. Input_traffic data'!AA$7*'4. Input_traffic data'!AA8</f>
        <v>0</v>
      </c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</row>
    <row r="7" spans="1:43" s="142" customFormat="1" ht="30.75" thickBot="1" x14ac:dyDescent="0.3">
      <c r="A7" s="140" t="s">
        <v>216</v>
      </c>
      <c r="B7" s="141">
        <f>'4. Input_traffic data'!D$7*'4. Input_traffic data'!D9</f>
        <v>0</v>
      </c>
      <c r="C7" s="141">
        <f>'4. Input_traffic data'!E$7*'4. Input_traffic data'!E9</f>
        <v>0</v>
      </c>
      <c r="D7" s="141">
        <f>'4. Input_traffic data'!F$7*'4. Input_traffic data'!F9</f>
        <v>0</v>
      </c>
      <c r="E7" s="141">
        <f>'4. Input_traffic data'!G$7*'4. Input_traffic data'!G9</f>
        <v>0</v>
      </c>
      <c r="F7" s="141">
        <f>'4. Input_traffic data'!H$7*'4. Input_traffic data'!H9</f>
        <v>0</v>
      </c>
      <c r="G7" s="141">
        <f>'4. Input_traffic data'!I$7*'4. Input_traffic data'!I9</f>
        <v>0</v>
      </c>
      <c r="H7" s="141">
        <f>'4. Input_traffic data'!J$7*'4. Input_traffic data'!J9</f>
        <v>0</v>
      </c>
      <c r="I7" s="141">
        <f>'4. Input_traffic data'!K$7*'4. Input_traffic data'!K9</f>
        <v>0</v>
      </c>
      <c r="J7" s="141">
        <f>'4. Input_traffic data'!L$7*'4. Input_traffic data'!L9</f>
        <v>0</v>
      </c>
      <c r="K7" s="141">
        <f>'4. Input_traffic data'!M$7*'4. Input_traffic data'!M9</f>
        <v>0</v>
      </c>
      <c r="L7" s="141">
        <f>'4. Input_traffic data'!N$7*'4. Input_traffic data'!N9</f>
        <v>0</v>
      </c>
      <c r="M7" s="141">
        <f>'4. Input_traffic data'!O$7*'4. Input_traffic data'!O9</f>
        <v>0</v>
      </c>
      <c r="N7" s="141">
        <f>'4. Input_traffic data'!P$7*'4. Input_traffic data'!P9</f>
        <v>0</v>
      </c>
      <c r="O7" s="141">
        <f>'4. Input_traffic data'!Q$7*'4. Input_traffic data'!Q9</f>
        <v>0</v>
      </c>
      <c r="P7" s="141">
        <f>'4. Input_traffic data'!R$7*'4. Input_traffic data'!R9</f>
        <v>0</v>
      </c>
      <c r="Q7" s="141">
        <f>'4. Input_traffic data'!S$7*'4. Input_traffic data'!S9</f>
        <v>0</v>
      </c>
      <c r="R7" s="141">
        <f>'4. Input_traffic data'!T$7*'4. Input_traffic data'!T9</f>
        <v>0</v>
      </c>
      <c r="S7" s="141">
        <f>'4. Input_traffic data'!U$7*'4. Input_traffic data'!U9</f>
        <v>0</v>
      </c>
      <c r="T7" s="141">
        <f>'4. Input_traffic data'!V$7*'4. Input_traffic data'!V9</f>
        <v>0</v>
      </c>
      <c r="U7" s="141">
        <f>'4. Input_traffic data'!W$7*'4. Input_traffic data'!W9</f>
        <v>0</v>
      </c>
      <c r="V7" s="141">
        <f>'4. Input_traffic data'!X$7*'4. Input_traffic data'!X9</f>
        <v>0</v>
      </c>
      <c r="W7" s="141">
        <f>'4. Input_traffic data'!Y$7*'4. Input_traffic data'!Y9</f>
        <v>0</v>
      </c>
      <c r="X7" s="141">
        <f>'4. Input_traffic data'!Z$7*'4. Input_traffic data'!Z9</f>
        <v>0</v>
      </c>
      <c r="Y7" s="141">
        <f>'4. Input_traffic data'!AA$7*'4. Input_traffic data'!AA9</f>
        <v>0</v>
      </c>
      <c r="Z7" s="247"/>
      <c r="AA7" s="247"/>
      <c r="AB7" s="247"/>
      <c r="AC7" s="247"/>
      <c r="AD7" s="247"/>
      <c r="AE7" s="247"/>
      <c r="AF7" s="247"/>
      <c r="AG7" s="247"/>
      <c r="AH7" s="247"/>
      <c r="AI7" s="247"/>
      <c r="AJ7" s="247"/>
      <c r="AK7" s="247"/>
      <c r="AL7" s="247"/>
      <c r="AM7" s="247"/>
      <c r="AN7" s="247"/>
      <c r="AO7" s="247"/>
      <c r="AP7" s="247"/>
      <c r="AQ7" s="247"/>
    </row>
    <row r="8" spans="1:43" s="142" customFormat="1" ht="30.75" thickBot="1" x14ac:dyDescent="0.3">
      <c r="A8" s="140" t="s">
        <v>217</v>
      </c>
      <c r="B8" s="141">
        <f>'4. Input_traffic data'!D$7*'4. Input_traffic data'!D10</f>
        <v>0</v>
      </c>
      <c r="C8" s="141">
        <f>'4. Input_traffic data'!E$7*'4. Input_traffic data'!E10</f>
        <v>0</v>
      </c>
      <c r="D8" s="141">
        <f>'4. Input_traffic data'!F$7*'4. Input_traffic data'!F10</f>
        <v>0</v>
      </c>
      <c r="E8" s="141">
        <f>'4. Input_traffic data'!G$7*'4. Input_traffic data'!G10</f>
        <v>0</v>
      </c>
      <c r="F8" s="141">
        <f>'4. Input_traffic data'!H$7*'4. Input_traffic data'!H10</f>
        <v>0</v>
      </c>
      <c r="G8" s="141">
        <f>'4. Input_traffic data'!I$7*'4. Input_traffic data'!I10</f>
        <v>0</v>
      </c>
      <c r="H8" s="141">
        <f>'4. Input_traffic data'!J$7*'4. Input_traffic data'!J10</f>
        <v>0</v>
      </c>
      <c r="I8" s="141">
        <f>'4. Input_traffic data'!K$7*'4. Input_traffic data'!K10</f>
        <v>0</v>
      </c>
      <c r="J8" s="141">
        <f>'4. Input_traffic data'!L$7*'4. Input_traffic data'!L10</f>
        <v>0</v>
      </c>
      <c r="K8" s="141">
        <f>'4. Input_traffic data'!M$7*'4. Input_traffic data'!M10</f>
        <v>0</v>
      </c>
      <c r="L8" s="141">
        <f>'4. Input_traffic data'!N$7*'4. Input_traffic data'!N10</f>
        <v>0</v>
      </c>
      <c r="M8" s="141">
        <f>'4. Input_traffic data'!O$7*'4. Input_traffic data'!O10</f>
        <v>0</v>
      </c>
      <c r="N8" s="141">
        <f>'4. Input_traffic data'!P$7*'4. Input_traffic data'!P10</f>
        <v>0</v>
      </c>
      <c r="O8" s="141">
        <f>'4. Input_traffic data'!Q$7*'4. Input_traffic data'!Q10</f>
        <v>0</v>
      </c>
      <c r="P8" s="141">
        <f>'4. Input_traffic data'!R$7*'4. Input_traffic data'!R10</f>
        <v>0</v>
      </c>
      <c r="Q8" s="141">
        <f>'4. Input_traffic data'!S$7*'4. Input_traffic data'!S10</f>
        <v>0</v>
      </c>
      <c r="R8" s="141">
        <f>'4. Input_traffic data'!T$7*'4. Input_traffic data'!T10</f>
        <v>0</v>
      </c>
      <c r="S8" s="141">
        <f>'4. Input_traffic data'!U$7*'4. Input_traffic data'!U10</f>
        <v>0</v>
      </c>
      <c r="T8" s="141">
        <f>'4. Input_traffic data'!V$7*'4. Input_traffic data'!V10</f>
        <v>0</v>
      </c>
      <c r="U8" s="141">
        <f>'4. Input_traffic data'!W$7*'4. Input_traffic data'!W10</f>
        <v>0</v>
      </c>
      <c r="V8" s="141">
        <f>'4. Input_traffic data'!X$7*'4. Input_traffic data'!X10</f>
        <v>0</v>
      </c>
      <c r="W8" s="141">
        <f>'4. Input_traffic data'!Y$7*'4. Input_traffic data'!Y10</f>
        <v>0</v>
      </c>
      <c r="X8" s="141">
        <f>'4. Input_traffic data'!Z$7*'4. Input_traffic data'!Z10</f>
        <v>0</v>
      </c>
      <c r="Y8" s="141">
        <f>'4. Input_traffic data'!AA$7*'4. Input_traffic data'!AA10</f>
        <v>0</v>
      </c>
      <c r="Z8" s="247"/>
      <c r="AA8" s="247"/>
      <c r="AB8" s="247"/>
      <c r="AC8" s="247"/>
      <c r="AD8" s="247"/>
      <c r="AE8" s="247"/>
      <c r="AF8" s="247"/>
      <c r="AG8" s="247"/>
      <c r="AH8" s="247"/>
      <c r="AI8" s="247"/>
      <c r="AJ8" s="247"/>
      <c r="AK8" s="247"/>
      <c r="AL8" s="247"/>
      <c r="AM8" s="247"/>
      <c r="AN8" s="247"/>
      <c r="AO8" s="247"/>
      <c r="AP8" s="247"/>
      <c r="AQ8" s="247"/>
    </row>
    <row r="9" spans="1:43" s="142" customFormat="1" ht="30.75" thickBot="1" x14ac:dyDescent="0.3">
      <c r="A9" s="140" t="s">
        <v>218</v>
      </c>
      <c r="B9" s="141">
        <f>'4. Input_traffic data'!D$7*'4. Input_traffic data'!D11</f>
        <v>0</v>
      </c>
      <c r="C9" s="141">
        <f>'4. Input_traffic data'!E$7*'4. Input_traffic data'!E11</f>
        <v>0</v>
      </c>
      <c r="D9" s="141">
        <f>'4. Input_traffic data'!F$7*'4. Input_traffic data'!F11</f>
        <v>0</v>
      </c>
      <c r="E9" s="141">
        <f>'4. Input_traffic data'!G$7*'4. Input_traffic data'!G11</f>
        <v>0</v>
      </c>
      <c r="F9" s="141">
        <f>'4. Input_traffic data'!H$7*'4. Input_traffic data'!H11</f>
        <v>0</v>
      </c>
      <c r="G9" s="141">
        <f>'4. Input_traffic data'!I$7*'4. Input_traffic data'!I11</f>
        <v>0</v>
      </c>
      <c r="H9" s="141">
        <f>'4. Input_traffic data'!J$7*'4. Input_traffic data'!J11</f>
        <v>0</v>
      </c>
      <c r="I9" s="141">
        <f>'4. Input_traffic data'!K$7*'4. Input_traffic data'!K11</f>
        <v>0</v>
      </c>
      <c r="J9" s="141">
        <f>'4. Input_traffic data'!L$7*'4. Input_traffic data'!L11</f>
        <v>0</v>
      </c>
      <c r="K9" s="141">
        <f>'4. Input_traffic data'!M$7*'4. Input_traffic data'!M11</f>
        <v>0</v>
      </c>
      <c r="L9" s="141">
        <f>'4. Input_traffic data'!N$7*'4. Input_traffic data'!N11</f>
        <v>0</v>
      </c>
      <c r="M9" s="141">
        <f>'4. Input_traffic data'!O$7*'4. Input_traffic data'!O11</f>
        <v>0</v>
      </c>
      <c r="N9" s="141">
        <f>'4. Input_traffic data'!P$7*'4. Input_traffic data'!P11</f>
        <v>0</v>
      </c>
      <c r="O9" s="141">
        <f>'4. Input_traffic data'!Q$7*'4. Input_traffic data'!Q11</f>
        <v>0</v>
      </c>
      <c r="P9" s="141">
        <f>'4. Input_traffic data'!R$7*'4. Input_traffic data'!R11</f>
        <v>0</v>
      </c>
      <c r="Q9" s="141">
        <f>'4. Input_traffic data'!S$7*'4. Input_traffic data'!S11</f>
        <v>0</v>
      </c>
      <c r="R9" s="141">
        <f>'4. Input_traffic data'!T$7*'4. Input_traffic data'!T11</f>
        <v>0</v>
      </c>
      <c r="S9" s="141">
        <f>'4. Input_traffic data'!U$7*'4. Input_traffic data'!U11</f>
        <v>0</v>
      </c>
      <c r="T9" s="141">
        <f>'4. Input_traffic data'!V$7*'4. Input_traffic data'!V11</f>
        <v>0</v>
      </c>
      <c r="U9" s="141">
        <f>'4. Input_traffic data'!W$7*'4. Input_traffic data'!W11</f>
        <v>0</v>
      </c>
      <c r="V9" s="141">
        <f>'4. Input_traffic data'!X$7*'4. Input_traffic data'!X11</f>
        <v>0</v>
      </c>
      <c r="W9" s="141">
        <f>'4. Input_traffic data'!Y$7*'4. Input_traffic data'!Y11</f>
        <v>0</v>
      </c>
      <c r="X9" s="141">
        <f>'4. Input_traffic data'!Z$7*'4. Input_traffic data'!Z11</f>
        <v>0</v>
      </c>
      <c r="Y9" s="141">
        <f>'4. Input_traffic data'!AA$7*'4. Input_traffic data'!AA11</f>
        <v>0</v>
      </c>
      <c r="Z9" s="247"/>
      <c r="AA9" s="247"/>
      <c r="AB9" s="247"/>
      <c r="AC9" s="247"/>
      <c r="AD9" s="247"/>
      <c r="AE9" s="247"/>
      <c r="AF9" s="247"/>
      <c r="AG9" s="247"/>
      <c r="AH9" s="247"/>
      <c r="AI9" s="247"/>
      <c r="AJ9" s="247"/>
      <c r="AK9" s="247"/>
      <c r="AL9" s="247"/>
      <c r="AM9" s="247"/>
      <c r="AN9" s="247"/>
      <c r="AO9" s="247"/>
      <c r="AP9" s="247"/>
      <c r="AQ9" s="247"/>
    </row>
    <row r="10" spans="1:43" s="142" customFormat="1" ht="15.75" thickBot="1" x14ac:dyDescent="0.3">
      <c r="A10" s="147" t="s">
        <v>430</v>
      </c>
      <c r="B10" s="149">
        <f>'4. Input_traffic data'!$D$14</f>
        <v>8</v>
      </c>
      <c r="C10" s="149">
        <f>'4. Input_traffic data'!$D$14</f>
        <v>8</v>
      </c>
      <c r="D10" s="149">
        <f>'4. Input_traffic data'!$D$14</f>
        <v>8</v>
      </c>
      <c r="E10" s="149">
        <f>'4. Input_traffic data'!$G$14</f>
        <v>8</v>
      </c>
      <c r="F10" s="149">
        <f>'4. Input_traffic data'!$G$14</f>
        <v>8</v>
      </c>
      <c r="G10" s="149">
        <f>'4. Input_traffic data'!$G$14</f>
        <v>8</v>
      </c>
      <c r="H10" s="149">
        <f>'4. Input_traffic data'!$J$14</f>
        <v>8</v>
      </c>
      <c r="I10" s="149">
        <f>'4. Input_traffic data'!$J$14</f>
        <v>8</v>
      </c>
      <c r="J10" s="149">
        <f>'4. Input_traffic data'!$L$14</f>
        <v>8</v>
      </c>
      <c r="K10" s="149">
        <f>'4. Input_traffic data'!$M$14</f>
        <v>8</v>
      </c>
      <c r="L10" s="149">
        <f>'4. Input_traffic data'!$M$14</f>
        <v>8</v>
      </c>
      <c r="M10" s="149">
        <f>'4. Input_traffic data'!$M$14</f>
        <v>8</v>
      </c>
      <c r="N10" s="149">
        <f>'4. Input_traffic data'!$P$14</f>
        <v>8</v>
      </c>
      <c r="O10" s="149">
        <f>'4. Input_traffic data'!$P$14</f>
        <v>8</v>
      </c>
      <c r="P10" s="149">
        <f>'4. Input_traffic data'!$P$14</f>
        <v>8</v>
      </c>
      <c r="Q10" s="149">
        <f>'4. Input_traffic data'!$S$14</f>
        <v>8</v>
      </c>
      <c r="R10" s="149">
        <f>'4. Input_traffic data'!$S$14</f>
        <v>8</v>
      </c>
      <c r="S10" s="149">
        <f>'4. Input_traffic data'!$S$14</f>
        <v>8</v>
      </c>
      <c r="T10" s="149">
        <f>'4. Input_traffic data'!$V$14</f>
        <v>8</v>
      </c>
      <c r="U10" s="149">
        <f>'4. Input_traffic data'!$V$14</f>
        <v>8</v>
      </c>
      <c r="V10" s="149">
        <f>'4. Input_traffic data'!$X$14</f>
        <v>8</v>
      </c>
      <c r="W10" s="150">
        <f>'4. Input_traffic data'!$Y$14</f>
        <v>8</v>
      </c>
      <c r="X10" s="150">
        <f>'4. Input_traffic data'!$Y$14</f>
        <v>8</v>
      </c>
      <c r="Y10" s="150">
        <f>'4. Input_traffic data'!$Y$14</f>
        <v>8</v>
      </c>
      <c r="Z10" s="247"/>
      <c r="AA10" s="247"/>
      <c r="AB10" s="247"/>
      <c r="AC10" s="247"/>
      <c r="AD10" s="247"/>
      <c r="AE10" s="247"/>
      <c r="AF10" s="247"/>
      <c r="AG10" s="247"/>
      <c r="AH10" s="247"/>
      <c r="AI10" s="247"/>
      <c r="AJ10" s="247"/>
      <c r="AK10" s="247"/>
      <c r="AL10" s="247"/>
      <c r="AM10" s="247"/>
      <c r="AN10" s="247"/>
      <c r="AO10" s="247"/>
      <c r="AP10" s="247"/>
      <c r="AQ10" s="247"/>
    </row>
    <row r="11" spans="1:43" s="142" customFormat="1" ht="15.75" thickBot="1" x14ac:dyDescent="0.3">
      <c r="A11" s="147" t="s">
        <v>431</v>
      </c>
      <c r="B11" s="149">
        <f>'4. Input_traffic data'!$D$15</f>
        <v>320</v>
      </c>
      <c r="C11" s="149">
        <f>'4. Input_traffic data'!$D$15</f>
        <v>320</v>
      </c>
      <c r="D11" s="149">
        <f>'4. Input_traffic data'!$D$15</f>
        <v>320</v>
      </c>
      <c r="E11" s="149">
        <f>'4. Input_traffic data'!$G$15</f>
        <v>320</v>
      </c>
      <c r="F11" s="149">
        <f>'4. Input_traffic data'!$G$15</f>
        <v>320</v>
      </c>
      <c r="G11" s="149">
        <f>'4. Input_traffic data'!$G$15</f>
        <v>320</v>
      </c>
      <c r="H11" s="149">
        <f>'4. Input_traffic data'!$J$15</f>
        <v>320</v>
      </c>
      <c r="I11" s="149">
        <f>'4. Input_traffic data'!$J$15</f>
        <v>320</v>
      </c>
      <c r="J11" s="149">
        <f>'4. Input_traffic data'!$L$15</f>
        <v>320</v>
      </c>
      <c r="K11" s="149">
        <f>'4. Input_traffic data'!$M$15</f>
        <v>320</v>
      </c>
      <c r="L11" s="149">
        <f>'4. Input_traffic data'!$M$15</f>
        <v>320</v>
      </c>
      <c r="M11" s="149">
        <f>'4. Input_traffic data'!$M$15</f>
        <v>320</v>
      </c>
      <c r="N11" s="149">
        <f>'4. Input_traffic data'!$P$15</f>
        <v>320</v>
      </c>
      <c r="O11" s="149">
        <f>'4. Input_traffic data'!$P$15</f>
        <v>320</v>
      </c>
      <c r="P11" s="149">
        <f>'4. Input_traffic data'!$P$15</f>
        <v>320</v>
      </c>
      <c r="Q11" s="149">
        <f>'4. Input_traffic data'!$S$15</f>
        <v>320</v>
      </c>
      <c r="R11" s="149">
        <f>'4. Input_traffic data'!$S$15</f>
        <v>320</v>
      </c>
      <c r="S11" s="149">
        <f>'4. Input_traffic data'!$S$15</f>
        <v>320</v>
      </c>
      <c r="T11" s="149">
        <f>'4. Input_traffic data'!$V$15</f>
        <v>320</v>
      </c>
      <c r="U11" s="149">
        <f>'4. Input_traffic data'!$V$15</f>
        <v>320</v>
      </c>
      <c r="V11" s="149">
        <f>'4. Input_traffic data'!$X$15</f>
        <v>320</v>
      </c>
      <c r="W11" s="150">
        <f>'4. Input_traffic data'!$Y$15</f>
        <v>320</v>
      </c>
      <c r="X11" s="150">
        <f>'4. Input_traffic data'!$Y$15</f>
        <v>320</v>
      </c>
      <c r="Y11" s="150">
        <f>'4. Input_traffic data'!$Y$15</f>
        <v>320</v>
      </c>
      <c r="Z11" s="247"/>
      <c r="AA11" s="247"/>
      <c r="AB11" s="247"/>
      <c r="AC11" s="247"/>
      <c r="AD11" s="247"/>
      <c r="AE11" s="247"/>
      <c r="AF11" s="247"/>
      <c r="AG11" s="247"/>
      <c r="AH11" s="247"/>
      <c r="AI11" s="247"/>
      <c r="AJ11" s="247"/>
      <c r="AK11" s="247"/>
      <c r="AL11" s="247"/>
      <c r="AM11" s="247"/>
      <c r="AN11" s="247"/>
      <c r="AO11" s="247"/>
      <c r="AP11" s="247"/>
      <c r="AQ11" s="247"/>
    </row>
    <row r="12" spans="1:43" ht="12.75" customHeight="1" thickBot="1" x14ac:dyDescent="0.3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</row>
    <row r="13" spans="1:43" ht="20.25" customHeight="1" thickBot="1" x14ac:dyDescent="0.3">
      <c r="A13" s="474" t="s">
        <v>258</v>
      </c>
      <c r="B13" s="474"/>
      <c r="C13" s="474"/>
      <c r="D13" s="474"/>
      <c r="E13" s="474"/>
      <c r="F13" s="474"/>
      <c r="G13" s="474"/>
      <c r="H13" s="474"/>
      <c r="I13" s="474"/>
      <c r="J13" s="474"/>
      <c r="K13" s="474"/>
      <c r="L13" s="474"/>
      <c r="M13" s="474"/>
      <c r="N13" s="474"/>
      <c r="O13" s="474"/>
      <c r="P13" s="474"/>
      <c r="Q13" s="474"/>
      <c r="R13" s="474"/>
      <c r="S13" s="474"/>
      <c r="T13" s="474"/>
      <c r="U13" s="474"/>
      <c r="V13" s="474"/>
      <c r="W13" s="474"/>
      <c r="X13" s="474"/>
      <c r="Y13" s="474"/>
    </row>
    <row r="14" spans="1:43" ht="30.75" thickBot="1" x14ac:dyDescent="0.3">
      <c r="A14" s="48" t="s">
        <v>195</v>
      </c>
      <c r="B14" s="125">
        <f>B5*'5. Input_monetary values'!B43+B4*('5. Input_monetary values'!B44+'5. Input_monetary values'!B45)</f>
        <v>0</v>
      </c>
      <c r="C14" s="125">
        <f>C5*'5. Input_monetary values'!C43+C4*('5. Input_monetary values'!C44+'5. Input_monetary values'!C45)</f>
        <v>0</v>
      </c>
      <c r="D14" s="125">
        <f>D5*'5. Input_monetary values'!D43+D4*('5. Input_monetary values'!D44+'5. Input_monetary values'!D45)</f>
        <v>0</v>
      </c>
      <c r="E14" s="125">
        <f>E5*'5. Input_monetary values'!E43+E4*('5. Input_monetary values'!E44+'5. Input_monetary values'!E45)</f>
        <v>0</v>
      </c>
      <c r="F14" s="125">
        <f>F5*'5. Input_monetary values'!F43+F4*('5. Input_monetary values'!F44+'5. Input_monetary values'!F45)</f>
        <v>0</v>
      </c>
      <c r="G14" s="125">
        <f>G5*'5. Input_monetary values'!G43+G4*('5. Input_monetary values'!G44+'5. Input_monetary values'!G45)</f>
        <v>0</v>
      </c>
      <c r="H14" s="125">
        <f>H5*'5. Input_monetary values'!H43+H4*('5. Input_monetary values'!H44+'5. Input_monetary values'!H45)</f>
        <v>0</v>
      </c>
      <c r="I14" s="125">
        <f>I5*'5. Input_monetary values'!I43+I4*('5. Input_monetary values'!I44+'5. Input_monetary values'!I45)</f>
        <v>0</v>
      </c>
      <c r="J14" s="125">
        <f>J5*'5. Input_monetary values'!I43+J4*('5. Input_monetary values'!I44+'5. Input_monetary values'!I45)</f>
        <v>0</v>
      </c>
      <c r="K14" s="125">
        <f>K5*'5. Input_monetary values'!J43+K4*('5. Input_monetary values'!J44+'5. Input_monetary values'!J45)</f>
        <v>0</v>
      </c>
      <c r="L14" s="125">
        <f>L5*'5. Input_monetary values'!K43+L4*('5. Input_monetary values'!K44+'5. Input_monetary values'!K45)</f>
        <v>0</v>
      </c>
      <c r="M14" s="125">
        <f>M5*'5. Input_monetary values'!L43+M4*('5. Input_monetary values'!L44+'5. Input_monetary values'!L45)</f>
        <v>0</v>
      </c>
      <c r="N14" s="125">
        <f>N5*'5. Input_monetary values'!B43+N4*('5. Input_monetary values'!B44+'5. Input_monetary values'!B45)</f>
        <v>0</v>
      </c>
      <c r="O14" s="125">
        <f>O5*'5. Input_monetary values'!C43+O4*('5. Input_monetary values'!C44+'5. Input_monetary values'!C45)</f>
        <v>0</v>
      </c>
      <c r="P14" s="125">
        <f>P5*'5. Input_monetary values'!D43+P4*('5. Input_monetary values'!D44+'5. Input_monetary values'!D45)</f>
        <v>0</v>
      </c>
      <c r="Q14" s="125">
        <f>Q5*'5. Input_monetary values'!E43+Q4*('5. Input_monetary values'!E44+'5. Input_monetary values'!E45)</f>
        <v>0</v>
      </c>
      <c r="R14" s="125">
        <f>R5*'5. Input_monetary values'!F43+R4*('5. Input_monetary values'!F44+'5. Input_monetary values'!F45)</f>
        <v>0</v>
      </c>
      <c r="S14" s="125">
        <f>S5*'5. Input_monetary values'!G43+S4*('5. Input_monetary values'!G44+'5. Input_monetary values'!G45)</f>
        <v>0</v>
      </c>
      <c r="T14" s="125">
        <f>T5*'5. Input_monetary values'!H43+T4*('5. Input_monetary values'!H44+'5. Input_monetary values'!H45)</f>
        <v>0</v>
      </c>
      <c r="U14" s="125">
        <f>U5*'5. Input_monetary values'!I43+U4*('5. Input_monetary values'!I44+'5. Input_monetary values'!I45)</f>
        <v>0</v>
      </c>
      <c r="V14" s="125">
        <f>V5*'5. Input_monetary values'!I43+V4*('5. Input_monetary values'!I44+'5. Input_monetary values'!I45)</f>
        <v>0</v>
      </c>
      <c r="W14" s="125">
        <f>W5*'5. Input_monetary values'!J43+W4*('5. Input_monetary values'!J44+'5. Input_monetary values'!J45)</f>
        <v>0</v>
      </c>
      <c r="X14" s="125">
        <f>X5*'5. Input_monetary values'!K43+X4*('5. Input_monetary values'!K44+'5. Input_monetary values'!K45)</f>
        <v>0</v>
      </c>
      <c r="Y14" s="125">
        <f>Y5*'5. Input_monetary values'!L43+Y4*('5. Input_monetary values'!L44+'5. Input_monetary values'!L45)</f>
        <v>0</v>
      </c>
    </row>
    <row r="15" spans="1:43" ht="30.75" thickBot="1" x14ac:dyDescent="0.3">
      <c r="A15" s="48" t="s">
        <v>196</v>
      </c>
      <c r="B15" s="496">
        <f>SUM(B14:M14)</f>
        <v>0</v>
      </c>
      <c r="C15" s="496"/>
      <c r="D15" s="496"/>
      <c r="E15" s="496"/>
      <c r="F15" s="496"/>
      <c r="G15" s="496"/>
      <c r="H15" s="496"/>
      <c r="I15" s="496"/>
      <c r="J15" s="496"/>
      <c r="K15" s="496"/>
      <c r="L15" s="496"/>
      <c r="M15" s="496"/>
      <c r="N15" s="497">
        <f>SUM(N14:Y14)</f>
        <v>0</v>
      </c>
      <c r="O15" s="497"/>
      <c r="P15" s="497"/>
      <c r="Q15" s="497"/>
      <c r="R15" s="497"/>
      <c r="S15" s="497"/>
      <c r="T15" s="497"/>
      <c r="U15" s="497"/>
      <c r="V15" s="497"/>
      <c r="W15" s="497"/>
      <c r="X15" s="497"/>
      <c r="Y15" s="497"/>
    </row>
    <row r="16" spans="1:43" ht="30.75" thickBot="1" x14ac:dyDescent="0.3">
      <c r="A16" s="30" t="s">
        <v>110</v>
      </c>
      <c r="B16" s="461">
        <f>SUMPRODUCT(B14:M14,B10:M10,B11:M11)</f>
        <v>0</v>
      </c>
      <c r="C16" s="461"/>
      <c r="D16" s="461"/>
      <c r="E16" s="461"/>
      <c r="F16" s="461"/>
      <c r="G16" s="461"/>
      <c r="H16" s="461"/>
      <c r="I16" s="461"/>
      <c r="J16" s="461"/>
      <c r="K16" s="461"/>
      <c r="L16" s="461"/>
      <c r="M16" s="461"/>
      <c r="N16" s="461">
        <f>SUMPRODUCT(N14:Y14,N10:Y10,N11:Y11)</f>
        <v>0</v>
      </c>
      <c r="O16" s="461"/>
      <c r="P16" s="461"/>
      <c r="Q16" s="461"/>
      <c r="R16" s="461"/>
      <c r="S16" s="461"/>
      <c r="T16" s="461"/>
      <c r="U16" s="461"/>
      <c r="V16" s="461"/>
      <c r="W16" s="461"/>
      <c r="X16" s="461"/>
      <c r="Y16" s="461"/>
    </row>
    <row r="17" spans="1:25" ht="12.75" customHeight="1" thickBot="1" x14ac:dyDescent="0.3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</row>
    <row r="18" spans="1:25" ht="20.25" customHeight="1" thickBot="1" x14ac:dyDescent="0.3">
      <c r="A18" s="474" t="s">
        <v>399</v>
      </c>
      <c r="B18" s="474"/>
      <c r="C18" s="474"/>
      <c r="D18" s="474"/>
      <c r="E18" s="474"/>
      <c r="F18" s="474"/>
      <c r="G18" s="474"/>
      <c r="H18" s="474"/>
      <c r="I18" s="474"/>
      <c r="J18" s="474"/>
      <c r="K18" s="474"/>
      <c r="L18" s="474"/>
      <c r="M18" s="474"/>
      <c r="N18" s="474"/>
      <c r="O18" s="474"/>
      <c r="P18" s="474"/>
      <c r="Q18" s="474"/>
      <c r="R18" s="474"/>
      <c r="S18" s="474"/>
      <c r="T18" s="474"/>
      <c r="U18" s="474"/>
      <c r="V18" s="474"/>
      <c r="W18" s="474"/>
      <c r="X18" s="474"/>
      <c r="Y18" s="474"/>
    </row>
    <row r="19" spans="1:25" ht="45.75" thickBot="1" x14ac:dyDescent="0.3">
      <c r="A19" s="48" t="s">
        <v>370</v>
      </c>
      <c r="B19" s="123">
        <f>(B6*'6. Conversion_factors'!$B$32+B7*'6. Conversion_factors'!$B$33+B8*'6. Conversion_factors'!$B$34+B9*'6. Conversion_factors'!$B$35)/1000</f>
        <v>0</v>
      </c>
      <c r="C19" s="123">
        <f>C5*'6. Conversion_factors'!$B$39</f>
        <v>0</v>
      </c>
      <c r="D19" s="123">
        <f>(D6*'6. Conversion_factors'!$C$32+D7*'6. Conversion_factors'!$C$33+D8*'6. Conversion_factors'!$C$34+D9*'6. Conversion_factors'!$C$35)/1000</f>
        <v>0</v>
      </c>
      <c r="E19" s="123">
        <f>(E6*'6. Conversion_factors'!$D$32+E7*'6. Conversion_factors'!$D$33+E8*'6. Conversion_factors'!$D$34+E9*'6. Conversion_factors'!$D$35)/1000</f>
        <v>0</v>
      </c>
      <c r="F19" s="123">
        <f>F5*'6. Conversion_factors'!$C$39</f>
        <v>0</v>
      </c>
      <c r="G19" s="123">
        <f>G5*'6. Conversion_factors'!$D$39</f>
        <v>0</v>
      </c>
      <c r="H19" s="171"/>
      <c r="I19" s="123">
        <f>I5*'6. Conversion_factors'!$E$39</f>
        <v>0</v>
      </c>
      <c r="J19" s="171"/>
      <c r="K19" s="123">
        <f>(K6*'6. Conversion_factors'!$E$32+K7*'6. Conversion_factors'!$E$33+K8*'6. Conversion_factors'!$E$34+K9*'6. Conversion_factors'!$E$35)/1000</f>
        <v>0</v>
      </c>
      <c r="L19" s="123">
        <f>L5*'6. Conversion_factors'!$F$39</f>
        <v>0</v>
      </c>
      <c r="M19" s="123">
        <f>(M6*'6. Conversion_factors'!$F$32+M7*'6. Conversion_factors'!$F$33+M8*'6. Conversion_factors'!$F$34+M9*'6. Conversion_factors'!$F$35)/1000</f>
        <v>0</v>
      </c>
      <c r="N19" s="123">
        <f>(N6*'6. Conversion_factors'!$B$32+N7*'6. Conversion_factors'!$B$33+N8*'6. Conversion_factors'!$B$34+N9*'6. Conversion_factors'!$B$35)/1000</f>
        <v>0</v>
      </c>
      <c r="O19" s="123">
        <f>O5*'6. Conversion_factors'!$B$39</f>
        <v>0</v>
      </c>
      <c r="P19" s="123">
        <f>(P6*'6. Conversion_factors'!$C$32+P7*'6. Conversion_factors'!$C$33+P8*'6. Conversion_factors'!$C$34+P9*'6. Conversion_factors'!$C$35)/1000</f>
        <v>0</v>
      </c>
      <c r="Q19" s="123">
        <f>(Q6*'6. Conversion_factors'!$D$32+Q7*'6. Conversion_factors'!$D$33+Q8*'6. Conversion_factors'!$D$34+Q9*'6. Conversion_factors'!$D$35)/1000</f>
        <v>0</v>
      </c>
      <c r="R19" s="123">
        <f>R5*'6. Conversion_factors'!$C$39</f>
        <v>0</v>
      </c>
      <c r="S19" s="123">
        <f>S5*'6. Conversion_factors'!$D$39</f>
        <v>0</v>
      </c>
      <c r="T19" s="171"/>
      <c r="U19" s="123">
        <f>U5*'6. Conversion_factors'!$E$39</f>
        <v>0</v>
      </c>
      <c r="V19" s="171"/>
      <c r="W19" s="123">
        <f>(W6*'6. Conversion_factors'!$E$32+W7*'6. Conversion_factors'!$E$33+W8*'6. Conversion_factors'!$E$34+W9*'6. Conversion_factors'!$E$35)/1000</f>
        <v>0</v>
      </c>
      <c r="X19" s="123">
        <f>X5*'6. Conversion_factors'!$F$39</f>
        <v>0</v>
      </c>
      <c r="Y19" s="123">
        <f>(Y6*'6. Conversion_factors'!$F$32+Y7*'6. Conversion_factors'!$F$33+Y8*'6. Conversion_factors'!$F$34+Y9*'6. Conversion_factors'!$F$35)/1000</f>
        <v>0</v>
      </c>
    </row>
    <row r="20" spans="1:25" ht="30.75" thickBot="1" x14ac:dyDescent="0.3">
      <c r="A20" s="48" t="s">
        <v>369</v>
      </c>
      <c r="B20" s="123">
        <f>B19*('6. Conversion_factors'!$B$6*'4. Input_traffic data'!$D$34+'6. Conversion_factors'!$C$6*'4. Input_traffic data'!$E$34)</f>
        <v>0</v>
      </c>
      <c r="C20" s="123">
        <f>C19</f>
        <v>0</v>
      </c>
      <c r="D20" s="123">
        <f>D19*'6. Conversion_factors'!$B$6</f>
        <v>0</v>
      </c>
      <c r="E20" s="123">
        <f>E19*'6. Conversion_factors'!$C$6</f>
        <v>0</v>
      </c>
      <c r="F20" s="123">
        <f>F19</f>
        <v>0</v>
      </c>
      <c r="G20" s="123">
        <f>G19</f>
        <v>0</v>
      </c>
      <c r="H20" s="171"/>
      <c r="I20" s="123">
        <f>I19</f>
        <v>0</v>
      </c>
      <c r="J20" s="171"/>
      <c r="K20" s="123">
        <f>K19*'6. Conversion_factors'!$C$6</f>
        <v>0</v>
      </c>
      <c r="L20" s="123">
        <f>L19</f>
        <v>0</v>
      </c>
      <c r="M20" s="123">
        <f>M19*'6. Conversion_factors'!$C$6</f>
        <v>0</v>
      </c>
      <c r="N20" s="123">
        <f>N19*('6. Conversion_factors'!$B$6*'4. Input_traffic data'!$F$34+'6. Conversion_factors'!$C$6*'4. Input_traffic data'!$G$34)</f>
        <v>0</v>
      </c>
      <c r="O20" s="123">
        <f>O19</f>
        <v>0</v>
      </c>
      <c r="P20" s="123">
        <f>P19*'6. Conversion_factors'!$B$6</f>
        <v>0</v>
      </c>
      <c r="Q20" s="123">
        <f>Q19*'6. Conversion_factors'!$C$6</f>
        <v>0</v>
      </c>
      <c r="R20" s="123">
        <f>R19</f>
        <v>0</v>
      </c>
      <c r="S20" s="123">
        <f>S19</f>
        <v>0</v>
      </c>
      <c r="T20" s="171"/>
      <c r="U20" s="123">
        <f>U19</f>
        <v>0</v>
      </c>
      <c r="V20" s="171"/>
      <c r="W20" s="123">
        <f>W19*'6. Conversion_factors'!$C$6</f>
        <v>0</v>
      </c>
      <c r="X20" s="123">
        <f>X19</f>
        <v>0</v>
      </c>
      <c r="Y20" s="123">
        <f>Y19*'6. Conversion_factors'!$C$6</f>
        <v>0</v>
      </c>
    </row>
    <row r="21" spans="1:25" ht="30.75" thickBot="1" x14ac:dyDescent="0.3">
      <c r="A21" s="48" t="s">
        <v>371</v>
      </c>
      <c r="B21" s="123">
        <f>B19/('4. Input_traffic data'!$D$34*'6. Conversion_factors'!$B$5+'4. Input_traffic data'!$E$34*'6. Conversion_factors'!$C$5)*('5. Input_monetary values'!$B$49*'4. Input_traffic data'!$D$34+'5. Input_monetary values'!$C$49*'4. Input_traffic data'!$E$34)</f>
        <v>0</v>
      </c>
      <c r="C21" s="123">
        <f>C19*'5. Input_monetary values'!$D$49</f>
        <v>0</v>
      </c>
      <c r="D21" s="123">
        <f>D19/'6. Conversion_factors'!$B$5*'5. Input_monetary values'!$B$49</f>
        <v>0</v>
      </c>
      <c r="E21" s="123">
        <f>E19/'6. Conversion_factors'!$C$5*'5. Input_monetary values'!$C$49</f>
        <v>0</v>
      </c>
      <c r="F21" s="123">
        <f>F19*'5. Input_monetary values'!$D$49</f>
        <v>0</v>
      </c>
      <c r="G21" s="123">
        <f>G19*'5. Input_monetary values'!$D$49</f>
        <v>0</v>
      </c>
      <c r="H21" s="171"/>
      <c r="I21" s="123">
        <f>I19*'5. Input_monetary values'!$D$49</f>
        <v>0</v>
      </c>
      <c r="J21" s="171"/>
      <c r="K21" s="124">
        <f>K19/'6. Conversion_factors'!$C$5*'5. Input_monetary values'!$C$49</f>
        <v>0</v>
      </c>
      <c r="L21" s="123">
        <f>L19*'5. Input_monetary values'!$D$49</f>
        <v>0</v>
      </c>
      <c r="M21" s="124">
        <f>M19/'6. Conversion_factors'!$C$5*'5. Input_monetary values'!$C$49</f>
        <v>0</v>
      </c>
      <c r="N21" s="124">
        <f>N19/('4. Input_traffic data'!$D$34*'6. Conversion_factors'!$B$5+'4. Input_traffic data'!$E$34*'6. Conversion_factors'!$C$5)*('5. Input_monetary values'!$B$49*'4. Input_traffic data'!$D$34+'5. Input_monetary values'!$C$49*'4. Input_traffic data'!$E$34)</f>
        <v>0</v>
      </c>
      <c r="O21" s="124">
        <f>O19*'5. Input_monetary values'!$D$49</f>
        <v>0</v>
      </c>
      <c r="P21" s="124">
        <f>P19/'6. Conversion_factors'!$B$5*'5. Input_monetary values'!$B$49</f>
        <v>0</v>
      </c>
      <c r="Q21" s="124">
        <f>Q19/'6. Conversion_factors'!$C$5*'5. Input_monetary values'!$C$49</f>
        <v>0</v>
      </c>
      <c r="R21" s="124">
        <f>R19*'5. Input_monetary values'!$D$49</f>
        <v>0</v>
      </c>
      <c r="S21" s="124">
        <f>S19*'5. Input_monetary values'!$D$49</f>
        <v>0</v>
      </c>
      <c r="T21" s="171"/>
      <c r="U21" s="124">
        <f>U19*'5. Input_monetary values'!$D$49</f>
        <v>0</v>
      </c>
      <c r="V21" s="171"/>
      <c r="W21" s="124">
        <f>W19/'6. Conversion_factors'!$C$5*'5. Input_monetary values'!$C$49</f>
        <v>0</v>
      </c>
      <c r="X21" s="124">
        <f>X19*'5. Input_monetary values'!$D$49</f>
        <v>0</v>
      </c>
      <c r="Y21" s="124">
        <f>Y19/'6. Conversion_factors'!$C$5*'5. Input_monetary values'!$C$49</f>
        <v>0</v>
      </c>
    </row>
    <row r="22" spans="1:25" ht="30" customHeight="1" thickBot="1" x14ac:dyDescent="0.3">
      <c r="A22" s="30" t="s">
        <v>351</v>
      </c>
      <c r="B22" s="461">
        <f>(SUMPRODUCT(B20:M20,B10:M10,B11:M11))</f>
        <v>0</v>
      </c>
      <c r="C22" s="461"/>
      <c r="D22" s="461"/>
      <c r="E22" s="461"/>
      <c r="F22" s="461"/>
      <c r="G22" s="461"/>
      <c r="H22" s="461"/>
      <c r="I22" s="461"/>
      <c r="J22" s="461"/>
      <c r="K22" s="461"/>
      <c r="L22" s="461"/>
      <c r="M22" s="461"/>
      <c r="N22" s="467">
        <f>(SUMPRODUCT(N20:Y20,N10:Y10,N11:Y11))</f>
        <v>0</v>
      </c>
      <c r="O22" s="468"/>
      <c r="P22" s="468"/>
      <c r="Q22" s="468"/>
      <c r="R22" s="468"/>
      <c r="S22" s="468"/>
      <c r="T22" s="468"/>
      <c r="U22" s="468"/>
      <c r="V22" s="468"/>
      <c r="W22" s="468"/>
      <c r="X22" s="468"/>
      <c r="Y22" s="469"/>
    </row>
    <row r="23" spans="1:25" ht="29.25" customHeight="1" thickBot="1" x14ac:dyDescent="0.3">
      <c r="A23" s="30" t="s">
        <v>266</v>
      </c>
      <c r="B23" s="492">
        <f>SUMPRODUCT(B21:M21,B10:M10,B11:M11)</f>
        <v>0</v>
      </c>
      <c r="C23" s="492"/>
      <c r="D23" s="492"/>
      <c r="E23" s="492"/>
      <c r="F23" s="492"/>
      <c r="G23" s="492"/>
      <c r="H23" s="492"/>
      <c r="I23" s="492"/>
      <c r="J23" s="492"/>
      <c r="K23" s="492"/>
      <c r="L23" s="492"/>
      <c r="M23" s="492"/>
      <c r="N23" s="493">
        <f>SUMPRODUCT(N21:Y21,N10:Y10,N11:Y11)</f>
        <v>0</v>
      </c>
      <c r="O23" s="494"/>
      <c r="P23" s="494"/>
      <c r="Q23" s="494"/>
      <c r="R23" s="494"/>
      <c r="S23" s="494"/>
      <c r="T23" s="494"/>
      <c r="U23" s="494"/>
      <c r="V23" s="494"/>
      <c r="W23" s="494"/>
      <c r="X23" s="494"/>
      <c r="Y23" s="495"/>
    </row>
    <row r="24" spans="1:25" ht="13.5" customHeight="1" x14ac:dyDescent="0.25">
      <c r="A24" s="491"/>
      <c r="B24" s="491"/>
      <c r="C24" s="491"/>
      <c r="D24" s="491"/>
      <c r="E24" s="491"/>
      <c r="F24" s="491"/>
      <c r="G24" s="491"/>
      <c r="H24" s="491"/>
      <c r="I24" s="491"/>
      <c r="J24" s="491"/>
      <c r="K24" s="491"/>
      <c r="L24" s="491"/>
      <c r="M24" s="491"/>
      <c r="N24" s="491"/>
      <c r="O24" s="491"/>
      <c r="P24" s="491"/>
      <c r="Q24" s="491"/>
      <c r="R24" s="491"/>
      <c r="S24" s="491"/>
      <c r="T24" s="491"/>
      <c r="U24" s="491"/>
      <c r="V24" s="491"/>
      <c r="W24" s="491"/>
      <c r="X24" s="491"/>
      <c r="Y24" s="491"/>
    </row>
    <row r="25" spans="1:25" s="25" customFormat="1" x14ac:dyDescent="0.25">
      <c r="A25" s="248"/>
    </row>
    <row r="26" spans="1:25" s="25" customFormat="1" x14ac:dyDescent="0.25">
      <c r="A26" s="248"/>
    </row>
    <row r="27" spans="1:25" s="25" customFormat="1" ht="15" customHeight="1" x14ac:dyDescent="0.25">
      <c r="A27" s="248"/>
    </row>
    <row r="28" spans="1:25" s="25" customFormat="1" x14ac:dyDescent="0.25">
      <c r="A28" s="248"/>
    </row>
    <row r="29" spans="1:25" s="25" customFormat="1" x14ac:dyDescent="0.25"/>
    <row r="30" spans="1:25" s="25" customFormat="1" x14ac:dyDescent="0.25"/>
    <row r="31" spans="1:25" s="25" customFormat="1" x14ac:dyDescent="0.25"/>
    <row r="32" spans="1:25" s="25" customFormat="1" x14ac:dyDescent="0.25"/>
    <row r="33" s="25" customFormat="1" x14ac:dyDescent="0.25"/>
    <row r="34" s="25" customFormat="1" x14ac:dyDescent="0.25"/>
    <row r="35" s="25" customFormat="1" x14ac:dyDescent="0.25"/>
    <row r="36" s="25" customFormat="1" x14ac:dyDescent="0.25"/>
    <row r="37" s="25" customFormat="1" x14ac:dyDescent="0.25"/>
    <row r="38" s="25" customFormat="1" x14ac:dyDescent="0.25"/>
    <row r="39" s="25" customFormat="1" x14ac:dyDescent="0.25"/>
    <row r="40" s="25" customFormat="1" x14ac:dyDescent="0.25"/>
    <row r="41" s="25" customFormat="1" x14ac:dyDescent="0.25"/>
    <row r="42" s="25" customFormat="1" x14ac:dyDescent="0.25"/>
    <row r="43" s="25" customFormat="1" x14ac:dyDescent="0.25"/>
    <row r="44" s="25" customFormat="1" x14ac:dyDescent="0.25"/>
    <row r="45" s="25" customFormat="1" x14ac:dyDescent="0.25"/>
    <row r="46" s="25" customFormat="1" x14ac:dyDescent="0.25"/>
    <row r="47" s="25" customFormat="1" x14ac:dyDescent="0.25"/>
    <row r="48" s="25" customFormat="1" x14ac:dyDescent="0.25"/>
    <row r="49" s="25" customFormat="1" x14ac:dyDescent="0.25"/>
    <row r="50" s="25" customFormat="1" x14ac:dyDescent="0.25"/>
    <row r="51" s="25" customFormat="1" x14ac:dyDescent="0.25"/>
    <row r="52" s="25" customFormat="1" x14ac:dyDescent="0.25"/>
    <row r="53" s="25" customFormat="1" x14ac:dyDescent="0.25"/>
  </sheetData>
  <sheetProtection algorithmName="SHA-512" hashValue="aZ0iXJDX+jRg7Ko/5WfMGmVqS+Q18QG2GWFOFiLma/Mfqa5swOZvpRmkDgM1103Qxz1cHAHtGc3uTdZNoPv9MQ==" saltValue="iSbB7bOxTlyx/SvKyqQTYA==" spinCount="100000" sheet="1" selectLockedCells="1"/>
  <mergeCells count="14">
    <mergeCell ref="A1:Y1"/>
    <mergeCell ref="A24:Y24"/>
    <mergeCell ref="N16:Y16"/>
    <mergeCell ref="A18:Y18"/>
    <mergeCell ref="B22:M22"/>
    <mergeCell ref="N22:Y22"/>
    <mergeCell ref="B23:M23"/>
    <mergeCell ref="N23:Y23"/>
    <mergeCell ref="N2:Y2"/>
    <mergeCell ref="B2:M2"/>
    <mergeCell ref="A13:Y13"/>
    <mergeCell ref="B15:M15"/>
    <mergeCell ref="B16:M16"/>
    <mergeCell ref="N15:Y15"/>
  </mergeCells>
  <pageMargins left="0.7" right="0.7" top="0.78740157499999996" bottom="0.78740157499999996" header="0.3" footer="0.3"/>
  <pageSetup paperSize="9" scale="33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3">
    <tabColor rgb="FFBCCF2F"/>
    <pageSetUpPr fitToPage="1"/>
  </sheetPr>
  <dimension ref="A1:AB286"/>
  <sheetViews>
    <sheetView zoomScale="70" zoomScaleNormal="70" workbookViewId="0">
      <pane xSplit="3" ySplit="5" topLeftCell="D6" activePane="bottomRight" state="frozen"/>
      <selection pane="topRight" activeCell="C1" sqref="C1"/>
      <selection pane="bottomLeft" activeCell="A6" sqref="A6"/>
      <selection pane="bottomRight" sqref="A1:I22"/>
    </sheetView>
  </sheetViews>
  <sheetFormatPr baseColWidth="10" defaultColWidth="11.42578125" defaultRowHeight="15" x14ac:dyDescent="0.25"/>
  <cols>
    <col min="3" max="3" width="24.42578125" customWidth="1"/>
    <col min="4" max="4" width="48.42578125" customWidth="1"/>
    <col min="5" max="5" width="9.85546875" customWidth="1"/>
    <col min="6" max="6" width="10.140625" customWidth="1"/>
    <col min="7" max="7" width="23.42578125" customWidth="1"/>
    <col min="8" max="8" width="22.42578125" customWidth="1"/>
    <col min="9" max="9" width="13.140625" customWidth="1"/>
    <col min="10" max="28" width="11.42578125" style="25"/>
  </cols>
  <sheetData>
    <row r="1" spans="1:10" ht="23.25" customHeight="1" x14ac:dyDescent="0.25">
      <c r="A1" s="450" t="s">
        <v>133</v>
      </c>
      <c r="B1" s="451"/>
      <c r="C1" s="451"/>
      <c r="D1" s="451"/>
      <c r="E1" s="451"/>
      <c r="F1" s="451"/>
      <c r="G1" s="451"/>
      <c r="H1" s="451"/>
      <c r="I1" s="451"/>
    </row>
    <row r="2" spans="1:10" ht="12" customHeight="1" x14ac:dyDescent="0.25">
      <c r="A2" s="25"/>
      <c r="B2" s="25"/>
      <c r="C2" s="25"/>
      <c r="D2" s="25"/>
      <c r="E2" s="25"/>
      <c r="F2" s="25"/>
      <c r="G2" s="25"/>
      <c r="H2" s="25"/>
      <c r="I2" s="25"/>
    </row>
    <row r="3" spans="1:10" ht="12.75" customHeight="1" thickBot="1" x14ac:dyDescent="0.3">
      <c r="A3" s="25"/>
      <c r="B3" s="25"/>
      <c r="C3" s="25"/>
      <c r="D3" s="25"/>
      <c r="E3" s="25"/>
      <c r="F3" s="25"/>
      <c r="G3" s="25"/>
      <c r="H3" s="25"/>
      <c r="I3" s="25"/>
    </row>
    <row r="4" spans="1:10" ht="19.5" customHeight="1" thickBot="1" x14ac:dyDescent="0.3">
      <c r="A4" s="498" t="s">
        <v>75</v>
      </c>
      <c r="B4" s="498" t="s">
        <v>15</v>
      </c>
      <c r="C4" s="498" t="s">
        <v>16</v>
      </c>
      <c r="D4" s="500" t="s">
        <v>0</v>
      </c>
      <c r="E4" s="533" t="s">
        <v>17</v>
      </c>
      <c r="F4" s="534"/>
      <c r="G4" s="531" t="s">
        <v>139</v>
      </c>
      <c r="H4" s="532"/>
      <c r="I4" s="532"/>
    </row>
    <row r="5" spans="1:10" ht="34.5" customHeight="1" thickBot="1" x14ac:dyDescent="0.3">
      <c r="A5" s="499"/>
      <c r="B5" s="499"/>
      <c r="C5" s="499"/>
      <c r="D5" s="501"/>
      <c r="E5" s="2" t="s">
        <v>213</v>
      </c>
      <c r="F5" s="2" t="s">
        <v>214</v>
      </c>
      <c r="G5" s="2" t="s">
        <v>284</v>
      </c>
      <c r="H5" s="2" t="s">
        <v>285</v>
      </c>
      <c r="I5" s="2" t="s">
        <v>360</v>
      </c>
    </row>
    <row r="6" spans="1:10" ht="30" customHeight="1" thickBot="1" x14ac:dyDescent="0.3">
      <c r="A6" s="4">
        <v>1</v>
      </c>
      <c r="B6" s="508" t="s">
        <v>33</v>
      </c>
      <c r="C6" s="510" t="s">
        <v>18</v>
      </c>
      <c r="D6" s="3" t="s">
        <v>281</v>
      </c>
      <c r="E6" s="4"/>
      <c r="F6" s="4"/>
      <c r="G6" s="110"/>
      <c r="H6" s="111">
        <f>'7. Public Financing'!B18</f>
        <v>0</v>
      </c>
      <c r="I6" s="112">
        <f>-(H6-G6)</f>
        <v>0</v>
      </c>
    </row>
    <row r="7" spans="1:10" ht="34.5" customHeight="1" thickBot="1" x14ac:dyDescent="0.3">
      <c r="A7" s="4">
        <v>2</v>
      </c>
      <c r="B7" s="509"/>
      <c r="C7" s="511"/>
      <c r="D7" s="3" t="s">
        <v>280</v>
      </c>
      <c r="E7" s="4"/>
      <c r="F7" s="4"/>
      <c r="G7" s="113"/>
      <c r="H7" s="114">
        <f>'7. Public Financing'!B26</f>
        <v>0</v>
      </c>
      <c r="I7" s="112">
        <f>-(H7-G7)</f>
        <v>0</v>
      </c>
    </row>
    <row r="8" spans="1:10" ht="29.1" customHeight="1" thickBot="1" x14ac:dyDescent="0.3">
      <c r="A8" s="5" t="s">
        <v>357</v>
      </c>
      <c r="B8" s="527" t="s">
        <v>134</v>
      </c>
      <c r="C8" s="525" t="s">
        <v>12</v>
      </c>
      <c r="D8" s="6" t="s">
        <v>300</v>
      </c>
      <c r="E8" s="5" t="s">
        <v>19</v>
      </c>
      <c r="F8" s="5" t="s">
        <v>19</v>
      </c>
      <c r="G8" s="54">
        <f>'8. Transport Network Perform.'!$B$13</f>
        <v>0</v>
      </c>
      <c r="H8" s="54">
        <f>'8. Transport Network Perform.'!$G$13</f>
        <v>0</v>
      </c>
      <c r="I8" s="115">
        <f t="shared" ref="I8:I21" si="0">-(H8-G8)</f>
        <v>0</v>
      </c>
      <c r="J8" s="249"/>
    </row>
    <row r="9" spans="1:10" ht="25.5" customHeight="1" thickBot="1" x14ac:dyDescent="0.3">
      <c r="A9" s="5" t="s">
        <v>358</v>
      </c>
      <c r="B9" s="528"/>
      <c r="C9" s="526"/>
      <c r="D9" s="6" t="s">
        <v>359</v>
      </c>
      <c r="E9" s="5" t="s">
        <v>19</v>
      </c>
      <c r="F9" s="5"/>
      <c r="G9" s="54">
        <f>'8. Transport Network Perform.'!$F$14</f>
        <v>0</v>
      </c>
      <c r="H9" s="54">
        <f>'8. Transport Network Perform.'!$K$14</f>
        <v>0</v>
      </c>
      <c r="I9" s="115">
        <f t="shared" si="0"/>
        <v>0</v>
      </c>
      <c r="J9" s="249"/>
    </row>
    <row r="10" spans="1:10" ht="22.5" customHeight="1" thickBot="1" x14ac:dyDescent="0.3">
      <c r="A10" s="12">
        <v>4</v>
      </c>
      <c r="B10" s="514" t="s">
        <v>20</v>
      </c>
      <c r="C10" s="517" t="s">
        <v>21</v>
      </c>
      <c r="D10" s="11" t="s">
        <v>339</v>
      </c>
      <c r="E10" s="12" t="s">
        <v>19</v>
      </c>
      <c r="F10" s="12"/>
      <c r="G10" s="122">
        <f>'9. Environment'!$B$13</f>
        <v>0</v>
      </c>
      <c r="H10" s="122">
        <f>'9. Environment'!$G$13</f>
        <v>0</v>
      </c>
      <c r="I10" s="119">
        <f t="shared" si="0"/>
        <v>0</v>
      </c>
      <c r="J10" s="250"/>
    </row>
    <row r="11" spans="1:10" ht="20.25" customHeight="1" thickBot="1" x14ac:dyDescent="0.3">
      <c r="A11" s="12">
        <v>5</v>
      </c>
      <c r="B11" s="515"/>
      <c r="C11" s="518"/>
      <c r="D11" s="11" t="s">
        <v>340</v>
      </c>
      <c r="E11" s="12" t="s">
        <v>19</v>
      </c>
      <c r="F11" s="12"/>
      <c r="G11" s="122">
        <f>'9. Environment'!$B$18</f>
        <v>0</v>
      </c>
      <c r="H11" s="122">
        <f>'9. Environment'!$G$18</f>
        <v>0</v>
      </c>
      <c r="I11" s="119">
        <f t="shared" si="0"/>
        <v>0</v>
      </c>
    </row>
    <row r="12" spans="1:10" ht="21" customHeight="1" thickBot="1" x14ac:dyDescent="0.3">
      <c r="A12" s="12">
        <v>6</v>
      </c>
      <c r="B12" s="515"/>
      <c r="C12" s="519"/>
      <c r="D12" s="11" t="s">
        <v>341</v>
      </c>
      <c r="E12" s="12" t="s">
        <v>19</v>
      </c>
      <c r="F12" s="12"/>
      <c r="G12" s="122">
        <f>'9. Environment'!$B$25</f>
        <v>0</v>
      </c>
      <c r="H12" s="122">
        <f>'9. Environment'!$G$25</f>
        <v>0</v>
      </c>
      <c r="I12" s="119">
        <f t="shared" si="0"/>
        <v>0</v>
      </c>
    </row>
    <row r="13" spans="1:10" ht="18.95" customHeight="1" thickBot="1" x14ac:dyDescent="0.3">
      <c r="A13" s="12">
        <v>7</v>
      </c>
      <c r="B13" s="515"/>
      <c r="C13" s="11" t="s">
        <v>6</v>
      </c>
      <c r="D13" s="11" t="s">
        <v>366</v>
      </c>
      <c r="E13" s="55" t="s">
        <v>19</v>
      </c>
      <c r="F13" s="12"/>
      <c r="G13" s="506">
        <f>'15. Overview_qual. appraisal'!J5</f>
        <v>0</v>
      </c>
      <c r="H13" s="507"/>
      <c r="I13" s="116">
        <f t="shared" si="0"/>
        <v>0</v>
      </c>
    </row>
    <row r="14" spans="1:10" ht="15.75" thickBot="1" x14ac:dyDescent="0.3">
      <c r="A14" s="12">
        <v>8</v>
      </c>
      <c r="B14" s="516"/>
      <c r="C14" s="11" t="s">
        <v>279</v>
      </c>
      <c r="D14" s="11" t="s">
        <v>484</v>
      </c>
      <c r="E14" s="12" t="s">
        <v>19</v>
      </c>
      <c r="F14" s="12"/>
      <c r="G14" s="506">
        <f>'15. Overview_qual. appraisal'!J6</f>
        <v>0</v>
      </c>
      <c r="H14" s="507"/>
      <c r="I14" s="101">
        <f>G14</f>
        <v>0</v>
      </c>
    </row>
    <row r="15" spans="1:10" ht="16.5" customHeight="1" thickBot="1" x14ac:dyDescent="0.3">
      <c r="A15" s="8">
        <v>9</v>
      </c>
      <c r="B15" s="520" t="s">
        <v>23</v>
      </c>
      <c r="C15" s="523" t="s">
        <v>11</v>
      </c>
      <c r="D15" s="7" t="s">
        <v>304</v>
      </c>
      <c r="E15" s="8" t="s">
        <v>19</v>
      </c>
      <c r="F15" s="8" t="s">
        <v>19</v>
      </c>
      <c r="G15" s="40">
        <f>'10. Society'!$B$5</f>
        <v>0</v>
      </c>
      <c r="H15" s="40">
        <f>'10. Society'!$G$5</f>
        <v>0</v>
      </c>
      <c r="I15" s="117">
        <f t="shared" si="0"/>
        <v>0</v>
      </c>
    </row>
    <row r="16" spans="1:10" ht="30.75" thickBot="1" x14ac:dyDescent="0.3">
      <c r="A16" s="8">
        <v>10</v>
      </c>
      <c r="B16" s="521"/>
      <c r="C16" s="524"/>
      <c r="D16" s="7" t="s">
        <v>306</v>
      </c>
      <c r="E16" s="8" t="s">
        <v>19</v>
      </c>
      <c r="F16" s="8" t="s">
        <v>19</v>
      </c>
      <c r="G16" s="40">
        <f>'10. Society'!$B$11</f>
        <v>0</v>
      </c>
      <c r="H16" s="40">
        <f>'10. Society'!$G$11</f>
        <v>0</v>
      </c>
      <c r="I16" s="117">
        <f t="shared" si="0"/>
        <v>0</v>
      </c>
    </row>
    <row r="17" spans="1:9" ht="30.75" thickBot="1" x14ac:dyDescent="0.3">
      <c r="A17" s="8">
        <v>11</v>
      </c>
      <c r="B17" s="521"/>
      <c r="C17" s="257" t="s">
        <v>24</v>
      </c>
      <c r="D17" s="7" t="s">
        <v>305</v>
      </c>
      <c r="E17" s="8"/>
      <c r="F17" s="8" t="s">
        <v>19</v>
      </c>
      <c r="G17" s="529">
        <f>'10. Society'!$B$18+'10. Society'!$D$18</f>
        <v>0</v>
      </c>
      <c r="H17" s="530"/>
      <c r="I17" s="128">
        <f>G17</f>
        <v>0</v>
      </c>
    </row>
    <row r="18" spans="1:9" ht="41.25" customHeight="1" thickBot="1" x14ac:dyDescent="0.3">
      <c r="A18" s="8">
        <v>12</v>
      </c>
      <c r="B18" s="521"/>
      <c r="C18" s="257" t="s">
        <v>25</v>
      </c>
      <c r="D18" s="7" t="s">
        <v>367</v>
      </c>
      <c r="E18" s="8"/>
      <c r="F18" s="8" t="s">
        <v>19</v>
      </c>
      <c r="G18" s="502">
        <f>'15. Overview_qual. appraisal'!J7</f>
        <v>0</v>
      </c>
      <c r="H18" s="503"/>
      <c r="I18" s="117">
        <f t="shared" ref="I18:I19" si="1">G18</f>
        <v>0</v>
      </c>
    </row>
    <row r="19" spans="1:9" ht="17.25" customHeight="1" thickBot="1" x14ac:dyDescent="0.3">
      <c r="A19" s="41">
        <v>13</v>
      </c>
      <c r="B19" s="522"/>
      <c r="C19" s="7" t="s">
        <v>26</v>
      </c>
      <c r="D19" s="39" t="s">
        <v>283</v>
      </c>
      <c r="E19" s="8"/>
      <c r="F19" s="8" t="s">
        <v>19</v>
      </c>
      <c r="G19" s="502">
        <f>'15. Overview_qual. appraisal'!J8</f>
        <v>0</v>
      </c>
      <c r="H19" s="503"/>
      <c r="I19" s="117">
        <f t="shared" si="1"/>
        <v>0</v>
      </c>
    </row>
    <row r="20" spans="1:9" ht="18.75" customHeight="1" thickBot="1" x14ac:dyDescent="0.3">
      <c r="A20" s="10">
        <v>14</v>
      </c>
      <c r="B20" s="512" t="s">
        <v>32</v>
      </c>
      <c r="C20" s="256" t="s">
        <v>27</v>
      </c>
      <c r="D20" s="9" t="s">
        <v>308</v>
      </c>
      <c r="E20" s="10" t="s">
        <v>19</v>
      </c>
      <c r="F20" s="10" t="s">
        <v>19</v>
      </c>
      <c r="G20" s="104">
        <f>'11. Private Business'!$B$16</f>
        <v>0</v>
      </c>
      <c r="H20" s="104">
        <f>'11. Private Business'!$N$16</f>
        <v>0</v>
      </c>
      <c r="I20" s="118">
        <f t="shared" si="0"/>
        <v>0</v>
      </c>
    </row>
    <row r="21" spans="1:9" ht="16.5" customHeight="1" thickBot="1" x14ac:dyDescent="0.3">
      <c r="A21" s="10">
        <v>15</v>
      </c>
      <c r="B21" s="513"/>
      <c r="C21" s="256" t="s">
        <v>22</v>
      </c>
      <c r="D21" s="256" t="s">
        <v>355</v>
      </c>
      <c r="E21" s="10" t="s">
        <v>19</v>
      </c>
      <c r="F21" s="10" t="s">
        <v>19</v>
      </c>
      <c r="G21" s="104">
        <f>'11. Private Business'!$B$22</f>
        <v>0</v>
      </c>
      <c r="H21" s="104">
        <f>'11. Private Business'!$N$22</f>
        <v>0</v>
      </c>
      <c r="I21" s="118">
        <f t="shared" si="0"/>
        <v>0</v>
      </c>
    </row>
    <row r="22" spans="1:9" ht="32.25" customHeight="1" thickBot="1" x14ac:dyDescent="0.3">
      <c r="A22" s="10">
        <v>16</v>
      </c>
      <c r="B22" s="513"/>
      <c r="C22" s="271" t="s">
        <v>28</v>
      </c>
      <c r="D22" s="272" t="s">
        <v>485</v>
      </c>
      <c r="E22" s="10"/>
      <c r="F22" s="10" t="s">
        <v>19</v>
      </c>
      <c r="G22" s="504">
        <f>'15. Overview_qual. appraisal'!J9</f>
        <v>0</v>
      </c>
      <c r="H22" s="505"/>
      <c r="I22" s="104">
        <f>G22</f>
        <v>0</v>
      </c>
    </row>
    <row r="23" spans="1:9" s="25" customFormat="1" x14ac:dyDescent="0.25"/>
    <row r="24" spans="1:9" s="25" customFormat="1" ht="62.25" customHeight="1" x14ac:dyDescent="0.25">
      <c r="C24" s="56"/>
      <c r="D24" s="277"/>
      <c r="E24" s="277"/>
      <c r="F24" s="277"/>
      <c r="G24" s="277"/>
      <c r="H24" s="277"/>
      <c r="I24" s="277"/>
    </row>
    <row r="25" spans="1:9" s="25" customFormat="1" ht="15" customHeight="1" x14ac:dyDescent="0.25">
      <c r="C25" s="56"/>
      <c r="D25" s="255"/>
    </row>
    <row r="26" spans="1:9" s="25" customFormat="1" x14ac:dyDescent="0.25"/>
    <row r="27" spans="1:9" s="25" customFormat="1" x14ac:dyDescent="0.25"/>
    <row r="28" spans="1:9" s="25" customFormat="1" x14ac:dyDescent="0.25"/>
    <row r="29" spans="1:9" s="25" customFormat="1" x14ac:dyDescent="0.25"/>
    <row r="30" spans="1:9" s="25" customFormat="1" x14ac:dyDescent="0.25"/>
    <row r="31" spans="1:9" s="25" customFormat="1" x14ac:dyDescent="0.25"/>
    <row r="32" spans="1:9" s="25" customFormat="1" x14ac:dyDescent="0.25"/>
    <row r="33" s="25" customFormat="1" x14ac:dyDescent="0.25"/>
    <row r="34" s="25" customFormat="1" x14ac:dyDescent="0.25"/>
    <row r="35" s="25" customFormat="1" x14ac:dyDescent="0.25"/>
    <row r="36" s="25" customFormat="1" x14ac:dyDescent="0.25"/>
    <row r="37" s="25" customFormat="1" x14ac:dyDescent="0.25"/>
    <row r="38" s="25" customFormat="1" x14ac:dyDescent="0.25"/>
    <row r="39" s="25" customFormat="1" x14ac:dyDescent="0.25"/>
    <row r="40" s="25" customFormat="1" x14ac:dyDescent="0.25"/>
    <row r="41" s="25" customFormat="1" x14ac:dyDescent="0.25"/>
    <row r="42" s="25" customFormat="1" x14ac:dyDescent="0.25"/>
    <row r="43" s="25" customFormat="1" x14ac:dyDescent="0.25"/>
    <row r="44" s="25" customFormat="1" x14ac:dyDescent="0.25"/>
    <row r="45" s="25" customFormat="1" x14ac:dyDescent="0.25"/>
    <row r="46" s="25" customFormat="1" x14ac:dyDescent="0.25"/>
    <row r="47" s="25" customFormat="1" x14ac:dyDescent="0.25"/>
    <row r="48" s="25" customFormat="1" x14ac:dyDescent="0.25"/>
    <row r="49" s="25" customFormat="1" x14ac:dyDescent="0.25"/>
    <row r="50" s="25" customFormat="1" x14ac:dyDescent="0.25"/>
    <row r="51" s="25" customFormat="1" x14ac:dyDescent="0.25"/>
    <row r="52" s="25" customFormat="1" x14ac:dyDescent="0.25"/>
    <row r="53" s="25" customFormat="1" x14ac:dyDescent="0.25"/>
    <row r="54" s="25" customFormat="1" x14ac:dyDescent="0.25"/>
    <row r="55" s="25" customFormat="1" x14ac:dyDescent="0.25"/>
    <row r="56" s="25" customFormat="1" x14ac:dyDescent="0.25"/>
    <row r="57" s="25" customFormat="1" x14ac:dyDescent="0.25"/>
    <row r="58" s="25" customFormat="1" x14ac:dyDescent="0.25"/>
    <row r="59" s="25" customFormat="1" x14ac:dyDescent="0.25"/>
    <row r="60" s="25" customFormat="1" x14ac:dyDescent="0.25"/>
    <row r="61" s="25" customFormat="1" x14ac:dyDescent="0.25"/>
    <row r="62" s="25" customFormat="1" x14ac:dyDescent="0.25"/>
    <row r="63" s="25" customFormat="1" x14ac:dyDescent="0.25"/>
    <row r="64" s="25" customFormat="1" x14ac:dyDescent="0.25"/>
    <row r="65" s="25" customFormat="1" x14ac:dyDescent="0.25"/>
    <row r="66" s="25" customFormat="1" x14ac:dyDescent="0.25"/>
    <row r="67" s="25" customFormat="1" x14ac:dyDescent="0.25"/>
    <row r="68" s="25" customFormat="1" x14ac:dyDescent="0.25"/>
    <row r="69" s="25" customFormat="1" x14ac:dyDescent="0.25"/>
    <row r="70" s="25" customFormat="1" x14ac:dyDescent="0.25"/>
    <row r="71" s="25" customFormat="1" x14ac:dyDescent="0.25"/>
    <row r="72" s="25" customFormat="1" x14ac:dyDescent="0.25"/>
    <row r="73" s="25" customFormat="1" x14ac:dyDescent="0.25"/>
    <row r="74" s="25" customFormat="1" x14ac:dyDescent="0.25"/>
    <row r="75" s="25" customFormat="1" x14ac:dyDescent="0.25"/>
    <row r="76" s="25" customFormat="1" x14ac:dyDescent="0.25"/>
    <row r="77" s="25" customFormat="1" x14ac:dyDescent="0.25"/>
    <row r="78" s="25" customFormat="1" x14ac:dyDescent="0.25"/>
    <row r="79" s="25" customFormat="1" x14ac:dyDescent="0.25"/>
    <row r="80" s="25" customFormat="1" x14ac:dyDescent="0.25"/>
    <row r="81" s="25" customFormat="1" x14ac:dyDescent="0.25"/>
    <row r="82" s="25" customFormat="1" x14ac:dyDescent="0.25"/>
    <row r="83" s="25" customFormat="1" x14ac:dyDescent="0.25"/>
    <row r="84" s="25" customFormat="1" x14ac:dyDescent="0.25"/>
    <row r="85" s="25" customFormat="1" x14ac:dyDescent="0.25"/>
    <row r="86" s="25" customFormat="1" x14ac:dyDescent="0.25"/>
    <row r="87" s="25" customFormat="1" x14ac:dyDescent="0.25"/>
    <row r="88" s="25" customFormat="1" x14ac:dyDescent="0.25"/>
    <row r="89" s="25" customFormat="1" x14ac:dyDescent="0.25"/>
    <row r="90" s="25" customFormat="1" x14ac:dyDescent="0.25"/>
    <row r="91" s="25" customFormat="1" x14ac:dyDescent="0.25"/>
    <row r="92" s="25" customFormat="1" x14ac:dyDescent="0.25"/>
    <row r="93" s="25" customFormat="1" x14ac:dyDescent="0.25"/>
    <row r="94" s="25" customFormat="1" x14ac:dyDescent="0.25"/>
    <row r="95" s="25" customFormat="1" x14ac:dyDescent="0.25"/>
    <row r="96" s="25" customFormat="1" x14ac:dyDescent="0.25"/>
    <row r="97" s="25" customFormat="1" x14ac:dyDescent="0.25"/>
    <row r="98" s="25" customFormat="1" x14ac:dyDescent="0.25"/>
    <row r="99" s="25" customFormat="1" x14ac:dyDescent="0.25"/>
    <row r="100" s="25" customFormat="1" x14ac:dyDescent="0.25"/>
    <row r="101" s="25" customFormat="1" x14ac:dyDescent="0.25"/>
    <row r="102" s="25" customFormat="1" x14ac:dyDescent="0.25"/>
    <row r="103" s="25" customFormat="1" x14ac:dyDescent="0.25"/>
    <row r="104" s="25" customFormat="1" x14ac:dyDescent="0.25"/>
    <row r="105" s="25" customFormat="1" x14ac:dyDescent="0.25"/>
    <row r="106" s="25" customFormat="1" x14ac:dyDescent="0.25"/>
    <row r="107" s="25" customFormat="1" x14ac:dyDescent="0.25"/>
    <row r="108" s="25" customFormat="1" x14ac:dyDescent="0.25"/>
    <row r="109" s="25" customFormat="1" x14ac:dyDescent="0.25"/>
    <row r="110" s="25" customFormat="1" x14ac:dyDescent="0.25"/>
    <row r="111" s="25" customFormat="1" x14ac:dyDescent="0.25"/>
    <row r="112" s="25" customFormat="1" x14ac:dyDescent="0.25"/>
    <row r="113" s="25" customFormat="1" x14ac:dyDescent="0.25"/>
    <row r="114" s="25" customFormat="1" x14ac:dyDescent="0.25"/>
    <row r="115" s="25" customFormat="1" x14ac:dyDescent="0.25"/>
    <row r="116" s="25" customFormat="1" x14ac:dyDescent="0.25"/>
    <row r="117" s="25" customFormat="1" x14ac:dyDescent="0.25"/>
    <row r="118" s="25" customFormat="1" x14ac:dyDescent="0.25"/>
    <row r="119" s="25" customFormat="1" x14ac:dyDescent="0.25"/>
    <row r="120" s="25" customFormat="1" x14ac:dyDescent="0.25"/>
    <row r="121" s="25" customFormat="1" x14ac:dyDescent="0.25"/>
    <row r="122" s="25" customFormat="1" x14ac:dyDescent="0.25"/>
    <row r="123" s="25" customFormat="1" x14ac:dyDescent="0.25"/>
    <row r="124" s="25" customFormat="1" x14ac:dyDescent="0.25"/>
    <row r="125" s="25" customFormat="1" x14ac:dyDescent="0.25"/>
    <row r="126" s="25" customFormat="1" x14ac:dyDescent="0.25"/>
    <row r="127" s="25" customFormat="1" x14ac:dyDescent="0.25"/>
    <row r="128" s="25" customFormat="1" x14ac:dyDescent="0.25"/>
    <row r="129" s="25" customFormat="1" x14ac:dyDescent="0.25"/>
    <row r="130" s="25" customFormat="1" x14ac:dyDescent="0.25"/>
    <row r="131" s="25" customFormat="1" x14ac:dyDescent="0.25"/>
    <row r="132" s="25" customFormat="1" x14ac:dyDescent="0.25"/>
    <row r="133" s="25" customFormat="1" x14ac:dyDescent="0.25"/>
    <row r="134" s="25" customFormat="1" x14ac:dyDescent="0.25"/>
    <row r="135" s="25" customFormat="1" x14ac:dyDescent="0.25"/>
    <row r="136" s="25" customFormat="1" x14ac:dyDescent="0.25"/>
    <row r="137" s="25" customFormat="1" x14ac:dyDescent="0.25"/>
    <row r="138" s="25" customFormat="1" x14ac:dyDescent="0.25"/>
    <row r="139" s="25" customFormat="1" x14ac:dyDescent="0.25"/>
    <row r="140" s="25" customFormat="1" x14ac:dyDescent="0.25"/>
    <row r="141" s="25" customFormat="1" x14ac:dyDescent="0.25"/>
    <row r="142" s="25" customFormat="1" x14ac:dyDescent="0.25"/>
    <row r="143" s="25" customFormat="1" x14ac:dyDescent="0.25"/>
    <row r="144" s="25" customFormat="1" x14ac:dyDescent="0.25"/>
    <row r="145" s="25" customFormat="1" x14ac:dyDescent="0.25"/>
    <row r="146" s="25" customFormat="1" x14ac:dyDescent="0.25"/>
    <row r="147" s="25" customFormat="1" x14ac:dyDescent="0.25"/>
    <row r="148" s="25" customFormat="1" x14ac:dyDescent="0.25"/>
    <row r="149" s="25" customFormat="1" x14ac:dyDescent="0.25"/>
    <row r="150" s="25" customFormat="1" x14ac:dyDescent="0.25"/>
    <row r="151" s="25" customFormat="1" x14ac:dyDescent="0.25"/>
    <row r="152" s="25" customFormat="1" x14ac:dyDescent="0.25"/>
    <row r="153" s="25" customFormat="1" x14ac:dyDescent="0.25"/>
    <row r="154" s="25" customFormat="1" x14ac:dyDescent="0.25"/>
    <row r="155" s="25" customFormat="1" x14ac:dyDescent="0.25"/>
    <row r="156" s="25" customFormat="1" x14ac:dyDescent="0.25"/>
    <row r="157" s="25" customFormat="1" x14ac:dyDescent="0.25"/>
    <row r="158" s="25" customFormat="1" x14ac:dyDescent="0.25"/>
    <row r="159" s="25" customFormat="1" x14ac:dyDescent="0.25"/>
    <row r="160" s="25" customFormat="1" x14ac:dyDescent="0.25"/>
    <row r="161" s="25" customFormat="1" x14ac:dyDescent="0.25"/>
    <row r="162" s="25" customFormat="1" x14ac:dyDescent="0.25"/>
    <row r="163" s="25" customFormat="1" x14ac:dyDescent="0.25"/>
    <row r="164" s="25" customFormat="1" x14ac:dyDescent="0.25"/>
    <row r="165" s="25" customFormat="1" x14ac:dyDescent="0.25"/>
    <row r="166" s="25" customFormat="1" x14ac:dyDescent="0.25"/>
    <row r="167" s="25" customFormat="1" x14ac:dyDescent="0.25"/>
    <row r="168" s="25" customFormat="1" x14ac:dyDescent="0.25"/>
    <row r="169" s="25" customFormat="1" x14ac:dyDescent="0.25"/>
    <row r="170" s="25" customFormat="1" x14ac:dyDescent="0.25"/>
    <row r="171" s="25" customFormat="1" x14ac:dyDescent="0.25"/>
    <row r="172" s="25" customFormat="1" x14ac:dyDescent="0.25"/>
    <row r="173" s="25" customFormat="1" x14ac:dyDescent="0.25"/>
    <row r="174" s="25" customFormat="1" x14ac:dyDescent="0.25"/>
    <row r="175" s="25" customFormat="1" x14ac:dyDescent="0.25"/>
    <row r="176" s="25" customFormat="1" x14ac:dyDescent="0.25"/>
    <row r="177" s="25" customFormat="1" x14ac:dyDescent="0.25"/>
    <row r="178" s="25" customFormat="1" x14ac:dyDescent="0.25"/>
    <row r="179" s="25" customFormat="1" x14ac:dyDescent="0.25"/>
    <row r="180" s="25" customFormat="1" x14ac:dyDescent="0.25"/>
    <row r="181" s="25" customFormat="1" x14ac:dyDescent="0.25"/>
    <row r="182" s="25" customFormat="1" x14ac:dyDescent="0.25"/>
    <row r="183" s="25" customFormat="1" x14ac:dyDescent="0.25"/>
    <row r="184" s="25" customFormat="1" x14ac:dyDescent="0.25"/>
    <row r="185" s="25" customFormat="1" x14ac:dyDescent="0.25"/>
    <row r="186" s="25" customFormat="1" x14ac:dyDescent="0.25"/>
    <row r="187" s="25" customFormat="1" x14ac:dyDescent="0.25"/>
    <row r="188" s="25" customFormat="1" x14ac:dyDescent="0.25"/>
    <row r="189" s="25" customFormat="1" x14ac:dyDescent="0.25"/>
    <row r="190" s="25" customFormat="1" x14ac:dyDescent="0.25"/>
    <row r="191" s="25" customFormat="1" x14ac:dyDescent="0.25"/>
    <row r="192" s="25" customFormat="1" x14ac:dyDescent="0.25"/>
    <row r="193" s="25" customFormat="1" x14ac:dyDescent="0.25"/>
    <row r="194" s="25" customFormat="1" x14ac:dyDescent="0.25"/>
    <row r="195" s="25" customFormat="1" x14ac:dyDescent="0.25"/>
    <row r="196" s="25" customFormat="1" x14ac:dyDescent="0.25"/>
    <row r="197" s="25" customFormat="1" x14ac:dyDescent="0.25"/>
    <row r="198" s="25" customFormat="1" x14ac:dyDescent="0.25"/>
    <row r="199" s="25" customFormat="1" x14ac:dyDescent="0.25"/>
    <row r="200" s="25" customFormat="1" x14ac:dyDescent="0.25"/>
    <row r="201" s="25" customFormat="1" x14ac:dyDescent="0.25"/>
    <row r="202" s="25" customFormat="1" x14ac:dyDescent="0.25"/>
    <row r="203" s="25" customFormat="1" x14ac:dyDescent="0.25"/>
    <row r="204" s="25" customFormat="1" x14ac:dyDescent="0.25"/>
    <row r="205" s="25" customFormat="1" x14ac:dyDescent="0.25"/>
    <row r="206" s="25" customFormat="1" x14ac:dyDescent="0.25"/>
    <row r="207" s="25" customFormat="1" x14ac:dyDescent="0.25"/>
    <row r="208" s="25" customFormat="1" x14ac:dyDescent="0.25"/>
    <row r="209" s="25" customFormat="1" x14ac:dyDescent="0.25"/>
    <row r="210" s="25" customFormat="1" x14ac:dyDescent="0.25"/>
    <row r="211" s="25" customFormat="1" x14ac:dyDescent="0.25"/>
    <row r="212" s="25" customFormat="1" x14ac:dyDescent="0.25"/>
    <row r="213" s="25" customFormat="1" x14ac:dyDescent="0.25"/>
    <row r="214" s="25" customFormat="1" x14ac:dyDescent="0.25"/>
    <row r="215" s="25" customFormat="1" x14ac:dyDescent="0.25"/>
    <row r="216" s="25" customFormat="1" x14ac:dyDescent="0.25"/>
    <row r="217" s="25" customFormat="1" x14ac:dyDescent="0.25"/>
    <row r="218" s="25" customFormat="1" x14ac:dyDescent="0.25"/>
    <row r="219" s="25" customFormat="1" x14ac:dyDescent="0.25"/>
    <row r="220" s="25" customFormat="1" x14ac:dyDescent="0.25"/>
    <row r="221" s="25" customFormat="1" x14ac:dyDescent="0.25"/>
    <row r="222" s="25" customFormat="1" x14ac:dyDescent="0.25"/>
    <row r="223" s="25" customFormat="1" x14ac:dyDescent="0.25"/>
    <row r="224" s="25" customFormat="1" x14ac:dyDescent="0.25"/>
    <row r="225" s="25" customFormat="1" x14ac:dyDescent="0.25"/>
    <row r="226" s="25" customFormat="1" x14ac:dyDescent="0.25"/>
    <row r="227" s="25" customFormat="1" x14ac:dyDescent="0.25"/>
    <row r="228" s="25" customFormat="1" x14ac:dyDescent="0.25"/>
    <row r="229" s="25" customFormat="1" x14ac:dyDescent="0.25"/>
    <row r="230" s="25" customFormat="1" x14ac:dyDescent="0.25"/>
    <row r="231" s="25" customFormat="1" x14ac:dyDescent="0.25"/>
    <row r="232" s="25" customFormat="1" x14ac:dyDescent="0.25"/>
    <row r="233" s="25" customFormat="1" x14ac:dyDescent="0.25"/>
    <row r="234" s="25" customFormat="1" x14ac:dyDescent="0.25"/>
    <row r="235" s="25" customFormat="1" x14ac:dyDescent="0.25"/>
    <row r="236" s="25" customFormat="1" x14ac:dyDescent="0.25"/>
    <row r="237" s="25" customFormat="1" x14ac:dyDescent="0.25"/>
    <row r="238" s="25" customFormat="1" x14ac:dyDescent="0.25"/>
    <row r="239" s="25" customFormat="1" x14ac:dyDescent="0.25"/>
    <row r="240" s="25" customFormat="1" x14ac:dyDescent="0.25"/>
    <row r="241" s="25" customFormat="1" x14ac:dyDescent="0.25"/>
    <row r="242" s="25" customFormat="1" x14ac:dyDescent="0.25"/>
    <row r="243" s="25" customFormat="1" x14ac:dyDescent="0.25"/>
    <row r="244" s="25" customFormat="1" x14ac:dyDescent="0.25"/>
    <row r="245" s="25" customFormat="1" x14ac:dyDescent="0.25"/>
    <row r="246" s="25" customFormat="1" x14ac:dyDescent="0.25"/>
    <row r="247" s="25" customFormat="1" x14ac:dyDescent="0.25"/>
    <row r="248" s="25" customFormat="1" x14ac:dyDescent="0.25"/>
    <row r="249" s="25" customFormat="1" x14ac:dyDescent="0.25"/>
    <row r="250" s="25" customFormat="1" x14ac:dyDescent="0.25"/>
    <row r="251" s="25" customFormat="1" x14ac:dyDescent="0.25"/>
    <row r="252" s="25" customFormat="1" x14ac:dyDescent="0.25"/>
    <row r="253" s="25" customFormat="1" x14ac:dyDescent="0.25"/>
    <row r="254" s="25" customFormat="1" x14ac:dyDescent="0.25"/>
    <row r="255" s="25" customFormat="1" x14ac:dyDescent="0.25"/>
    <row r="256" s="25" customFormat="1" x14ac:dyDescent="0.25"/>
    <row r="257" s="25" customFormat="1" x14ac:dyDescent="0.25"/>
    <row r="258" s="25" customFormat="1" x14ac:dyDescent="0.25"/>
    <row r="259" s="25" customFormat="1" x14ac:dyDescent="0.25"/>
    <row r="260" s="25" customFormat="1" x14ac:dyDescent="0.25"/>
    <row r="261" s="25" customFormat="1" x14ac:dyDescent="0.25"/>
    <row r="262" s="25" customFormat="1" x14ac:dyDescent="0.25"/>
    <row r="263" s="25" customFormat="1" x14ac:dyDescent="0.25"/>
    <row r="264" s="25" customFormat="1" x14ac:dyDescent="0.25"/>
    <row r="265" s="25" customFormat="1" x14ac:dyDescent="0.25"/>
    <row r="266" s="25" customFormat="1" x14ac:dyDescent="0.25"/>
    <row r="267" s="25" customFormat="1" x14ac:dyDescent="0.25"/>
    <row r="268" s="25" customFormat="1" x14ac:dyDescent="0.25"/>
    <row r="269" s="25" customFormat="1" x14ac:dyDescent="0.25"/>
    <row r="270" s="25" customFormat="1" x14ac:dyDescent="0.25"/>
    <row r="271" s="25" customFormat="1" x14ac:dyDescent="0.25"/>
    <row r="272" s="25" customFormat="1" x14ac:dyDescent="0.25"/>
    <row r="273" s="25" customFormat="1" x14ac:dyDescent="0.25"/>
    <row r="274" s="25" customFormat="1" x14ac:dyDescent="0.25"/>
    <row r="275" s="25" customFormat="1" x14ac:dyDescent="0.25"/>
    <row r="276" s="25" customFormat="1" x14ac:dyDescent="0.25"/>
    <row r="277" s="25" customFormat="1" x14ac:dyDescent="0.25"/>
    <row r="278" s="25" customFormat="1" x14ac:dyDescent="0.25"/>
    <row r="279" s="25" customFormat="1" x14ac:dyDescent="0.25"/>
    <row r="280" s="25" customFormat="1" x14ac:dyDescent="0.25"/>
    <row r="281" s="25" customFormat="1" x14ac:dyDescent="0.25"/>
    <row r="282" s="25" customFormat="1" x14ac:dyDescent="0.25"/>
    <row r="283" s="25" customFormat="1" x14ac:dyDescent="0.25"/>
    <row r="284" s="25" customFormat="1" x14ac:dyDescent="0.25"/>
    <row r="285" s="25" customFormat="1" x14ac:dyDescent="0.25"/>
    <row r="286" s="25" customFormat="1" x14ac:dyDescent="0.25"/>
  </sheetData>
  <sheetProtection algorithmName="SHA-512" hashValue="w0p0dYbgFTf8Tafk1dRrWbM8EcyYEcZuECEakpOTAgrr2041UpLJi48M9D/t49isDXRJF0kBYtlQr6s3OaHIqQ==" saltValue="pCDtoW3SXSz7pw3kQLdNmA==" spinCount="100000" sheet="1" selectLockedCells="1"/>
  <mergeCells count="22">
    <mergeCell ref="A1:I1"/>
    <mergeCell ref="B6:B7"/>
    <mergeCell ref="C6:C7"/>
    <mergeCell ref="B20:B22"/>
    <mergeCell ref="B10:B14"/>
    <mergeCell ref="C10:C12"/>
    <mergeCell ref="B15:B19"/>
    <mergeCell ref="C15:C16"/>
    <mergeCell ref="C8:C9"/>
    <mergeCell ref="B8:B9"/>
    <mergeCell ref="G17:H17"/>
    <mergeCell ref="G13:H13"/>
    <mergeCell ref="G4:I4"/>
    <mergeCell ref="A4:A5"/>
    <mergeCell ref="E4:F4"/>
    <mergeCell ref="B4:B5"/>
    <mergeCell ref="C4:C5"/>
    <mergeCell ref="D4:D5"/>
    <mergeCell ref="G18:H18"/>
    <mergeCell ref="G19:H19"/>
    <mergeCell ref="G22:H22"/>
    <mergeCell ref="G14:H14"/>
  </mergeCells>
  <pageMargins left="0.7" right="0.7" top="0.78740157499999996" bottom="0.78740157499999996" header="0.3" footer="0.3"/>
  <pageSetup paperSize="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5">
    <tabColor rgb="FFBCCF2F"/>
  </sheetPr>
  <dimension ref="A1:AR299"/>
  <sheetViews>
    <sheetView zoomScaleNormal="100" workbookViewId="0">
      <selection activeCell="K5" sqref="K5"/>
    </sheetView>
  </sheetViews>
  <sheetFormatPr baseColWidth="10" defaultColWidth="11.42578125" defaultRowHeight="15" x14ac:dyDescent="0.25"/>
  <cols>
    <col min="1" max="1" width="12.5703125" bestFit="1" customWidth="1"/>
    <col min="2" max="2" width="15.42578125" customWidth="1"/>
    <col min="3" max="3" width="8.42578125" bestFit="1" customWidth="1"/>
    <col min="4" max="4" width="35.140625" customWidth="1"/>
    <col min="5" max="5" width="20.5703125" customWidth="1"/>
    <col min="6" max="6" width="19.5703125" customWidth="1"/>
    <col min="7" max="7" width="10.42578125" bestFit="1" customWidth="1"/>
    <col min="9" max="10" width="13.42578125" customWidth="1"/>
    <col min="13" max="44" width="11.42578125" style="25"/>
  </cols>
  <sheetData>
    <row r="1" spans="1:12" ht="24" customHeight="1" thickBot="1" x14ac:dyDescent="0.3">
      <c r="A1" s="552" t="s">
        <v>373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</row>
    <row r="2" spans="1:12" ht="15.75" thickBot="1" x14ac:dyDescent="0.3">
      <c r="A2" s="20"/>
      <c r="B2" s="18"/>
      <c r="C2" s="18"/>
      <c r="D2" s="18"/>
      <c r="E2" s="18"/>
      <c r="F2" s="18"/>
      <c r="G2" s="18"/>
      <c r="H2" s="25"/>
      <c r="I2" s="25"/>
      <c r="J2" s="25"/>
      <c r="K2" s="25"/>
      <c r="L2" s="25"/>
    </row>
    <row r="3" spans="1:12" ht="19.5" customHeight="1" thickBot="1" x14ac:dyDescent="0.3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</row>
    <row r="4" spans="1:12" ht="45.75" thickBot="1" x14ac:dyDescent="0.3">
      <c r="A4" s="312" t="s">
        <v>15</v>
      </c>
      <c r="B4" s="297" t="s">
        <v>92</v>
      </c>
      <c r="C4" s="297" t="s">
        <v>75</v>
      </c>
      <c r="D4" s="297" t="s">
        <v>0</v>
      </c>
      <c r="E4" s="297" t="s">
        <v>284</v>
      </c>
      <c r="F4" s="297" t="s">
        <v>285</v>
      </c>
      <c r="G4" s="313" t="s">
        <v>286</v>
      </c>
      <c r="H4" s="313" t="s">
        <v>363</v>
      </c>
      <c r="I4" s="313" t="s">
        <v>364</v>
      </c>
      <c r="J4" s="313" t="s">
        <v>365</v>
      </c>
      <c r="K4" s="297" t="s">
        <v>99</v>
      </c>
      <c r="L4" s="297" t="s">
        <v>143</v>
      </c>
    </row>
    <row r="5" spans="1:12" ht="15.75" thickBot="1" x14ac:dyDescent="0.3">
      <c r="A5" s="554" t="s">
        <v>35</v>
      </c>
      <c r="B5" s="555" t="s">
        <v>78</v>
      </c>
      <c r="C5" s="314" t="s">
        <v>97</v>
      </c>
      <c r="D5" s="315" t="s">
        <v>281</v>
      </c>
      <c r="E5" s="316"/>
      <c r="F5" s="314">
        <f>'7. Public Financing'!B18</f>
        <v>0</v>
      </c>
      <c r="G5" s="317">
        <f t="shared" ref="G5:G20" si="0">-(F5-E5)</f>
        <v>0</v>
      </c>
      <c r="H5" s="258"/>
      <c r="I5" s="258"/>
      <c r="J5" s="317" t="e">
        <f>IF(G5&gt;0,(G5/I5)*100,(G5/H5)*-100)</f>
        <v>#DIV/0!</v>
      </c>
      <c r="K5" s="258"/>
      <c r="L5" s="317" t="e">
        <f>J5*K5</f>
        <v>#DIV/0!</v>
      </c>
    </row>
    <row r="6" spans="1:12" ht="30.75" thickBot="1" x14ac:dyDescent="0.3">
      <c r="A6" s="554"/>
      <c r="B6" s="555"/>
      <c r="C6" s="314" t="s">
        <v>98</v>
      </c>
      <c r="D6" s="315" t="s">
        <v>280</v>
      </c>
      <c r="E6" s="318"/>
      <c r="F6" s="317">
        <f>'7. Public Financing'!B26</f>
        <v>0</v>
      </c>
      <c r="G6" s="317">
        <f t="shared" si="0"/>
        <v>0</v>
      </c>
      <c r="H6" s="258"/>
      <c r="I6" s="258"/>
      <c r="J6" s="317" t="e">
        <f t="shared" ref="J6:J21" si="1">IF(G6&gt;0,(G6/I6)*100,(G6/H6)*-100)</f>
        <v>#DIV/0!</v>
      </c>
      <c r="K6" s="258"/>
      <c r="L6" s="317" t="e">
        <f t="shared" ref="L6:L21" si="2">J6*K6</f>
        <v>#DIV/0!</v>
      </c>
    </row>
    <row r="7" spans="1:12" ht="45.75" customHeight="1" thickBot="1" x14ac:dyDescent="0.3">
      <c r="A7" s="539" t="s">
        <v>74</v>
      </c>
      <c r="B7" s="537" t="s">
        <v>95</v>
      </c>
      <c r="C7" s="319" t="s">
        <v>361</v>
      </c>
      <c r="D7" s="319" t="s">
        <v>300</v>
      </c>
      <c r="E7" s="320">
        <f>'8. Transport Network Perform.'!$B$13</f>
        <v>0</v>
      </c>
      <c r="F7" s="320">
        <f>'8. Transport Network Perform.'!$G$13</f>
        <v>0</v>
      </c>
      <c r="G7" s="320">
        <f t="shared" si="0"/>
        <v>0</v>
      </c>
      <c r="H7" s="259"/>
      <c r="I7" s="259"/>
      <c r="J7" s="320" t="e">
        <f t="shared" ref="J7:J15" si="3">IF(G7&gt;0,(G7/I7)*100,(G7/H7)*-100)</f>
        <v>#DIV/0!</v>
      </c>
      <c r="K7" s="259"/>
      <c r="L7" s="320" t="e">
        <f t="shared" si="2"/>
        <v>#DIV/0!</v>
      </c>
    </row>
    <row r="8" spans="1:12" ht="15.75" thickBot="1" x14ac:dyDescent="0.3">
      <c r="A8" s="540"/>
      <c r="B8" s="538"/>
      <c r="C8" s="319" t="s">
        <v>362</v>
      </c>
      <c r="D8" s="319" t="s">
        <v>359</v>
      </c>
      <c r="E8" s="320">
        <f>'8. Transport Network Perform.'!$F$14</f>
        <v>0</v>
      </c>
      <c r="F8" s="320">
        <f>'8. Transport Network Perform.'!$K$14</f>
        <v>0</v>
      </c>
      <c r="G8" s="320">
        <f t="shared" si="0"/>
        <v>0</v>
      </c>
      <c r="H8" s="259"/>
      <c r="I8" s="259"/>
      <c r="J8" s="320" t="e">
        <f t="shared" si="3"/>
        <v>#DIV/0!</v>
      </c>
      <c r="K8" s="259"/>
      <c r="L8" s="320" t="e">
        <f t="shared" si="2"/>
        <v>#DIV/0!</v>
      </c>
    </row>
    <row r="9" spans="1:12" ht="18.75" thickBot="1" x14ac:dyDescent="0.3">
      <c r="A9" s="557" t="s">
        <v>9</v>
      </c>
      <c r="B9" s="556" t="s">
        <v>93</v>
      </c>
      <c r="C9" s="321" t="s">
        <v>316</v>
      </c>
      <c r="D9" s="321" t="s">
        <v>301</v>
      </c>
      <c r="E9" s="322">
        <f>'9. Environment'!$B$13</f>
        <v>0</v>
      </c>
      <c r="F9" s="322">
        <f>'9. Environment'!$G$13</f>
        <v>0</v>
      </c>
      <c r="G9" s="322">
        <f t="shared" si="0"/>
        <v>0</v>
      </c>
      <c r="H9" s="260"/>
      <c r="I9" s="260"/>
      <c r="J9" s="322" t="e">
        <f t="shared" si="3"/>
        <v>#DIV/0!</v>
      </c>
      <c r="K9" s="260"/>
      <c r="L9" s="322" t="e">
        <f t="shared" si="2"/>
        <v>#DIV/0!</v>
      </c>
    </row>
    <row r="10" spans="1:12" ht="18.75" thickBot="1" x14ac:dyDescent="0.3">
      <c r="A10" s="558"/>
      <c r="B10" s="556"/>
      <c r="C10" s="321" t="s">
        <v>317</v>
      </c>
      <c r="D10" s="321" t="s">
        <v>302</v>
      </c>
      <c r="E10" s="322">
        <f>'9. Environment'!$B$18</f>
        <v>0</v>
      </c>
      <c r="F10" s="322">
        <f>'9. Environment'!$G$18</f>
        <v>0</v>
      </c>
      <c r="G10" s="322">
        <f t="shared" si="0"/>
        <v>0</v>
      </c>
      <c r="H10" s="260"/>
      <c r="I10" s="260"/>
      <c r="J10" s="322" t="e">
        <f t="shared" si="3"/>
        <v>#DIV/0!</v>
      </c>
      <c r="K10" s="260"/>
      <c r="L10" s="322" t="e">
        <f t="shared" si="2"/>
        <v>#DIV/0!</v>
      </c>
    </row>
    <row r="11" spans="1:12" ht="18.75" thickBot="1" x14ac:dyDescent="0.3">
      <c r="A11" s="558"/>
      <c r="B11" s="556"/>
      <c r="C11" s="321" t="s">
        <v>318</v>
      </c>
      <c r="D11" s="321" t="s">
        <v>303</v>
      </c>
      <c r="E11" s="322">
        <f>'9. Environment'!$B$25</f>
        <v>0</v>
      </c>
      <c r="F11" s="322">
        <f>'9. Environment'!$G$25</f>
        <v>0</v>
      </c>
      <c r="G11" s="322">
        <f t="shared" si="0"/>
        <v>0</v>
      </c>
      <c r="H11" s="260"/>
      <c r="I11" s="260"/>
      <c r="J11" s="322" t="e">
        <f t="shared" si="3"/>
        <v>#DIV/0!</v>
      </c>
      <c r="K11" s="260"/>
      <c r="L11" s="322" t="e">
        <f t="shared" si="2"/>
        <v>#DIV/0!</v>
      </c>
    </row>
    <row r="12" spans="1:12" ht="30.75" thickBot="1" x14ac:dyDescent="0.3">
      <c r="A12" s="558"/>
      <c r="B12" s="321" t="s">
        <v>6</v>
      </c>
      <c r="C12" s="321" t="s">
        <v>319</v>
      </c>
      <c r="D12" s="321" t="s">
        <v>282</v>
      </c>
      <c r="E12" s="548">
        <f>'15. Overview_qual. appraisal'!G5</f>
        <v>0</v>
      </c>
      <c r="F12" s="549"/>
      <c r="G12" s="322">
        <f>E12</f>
        <v>0</v>
      </c>
      <c r="H12" s="260"/>
      <c r="I12" s="260"/>
      <c r="J12" s="322" t="e">
        <f t="shared" si="3"/>
        <v>#DIV/0!</v>
      </c>
      <c r="K12" s="260"/>
      <c r="L12" s="322" t="e">
        <f>J12*K12</f>
        <v>#DIV/0!</v>
      </c>
    </row>
    <row r="13" spans="1:12" ht="15.75" thickBot="1" x14ac:dyDescent="0.3">
      <c r="A13" s="559"/>
      <c r="B13" s="323" t="s">
        <v>279</v>
      </c>
      <c r="C13" s="321" t="s">
        <v>320</v>
      </c>
      <c r="D13" s="323" t="s">
        <v>484</v>
      </c>
      <c r="E13" s="548">
        <f>'15. Overview_qual. appraisal'!G6</f>
        <v>0</v>
      </c>
      <c r="F13" s="549"/>
      <c r="G13" s="322">
        <f>E13</f>
        <v>0</v>
      </c>
      <c r="H13" s="260"/>
      <c r="I13" s="260"/>
      <c r="J13" s="322" t="e">
        <f t="shared" si="3"/>
        <v>#DIV/0!</v>
      </c>
      <c r="K13" s="260"/>
      <c r="L13" s="322" t="e">
        <f>J13*K13</f>
        <v>#DIV/0!</v>
      </c>
    </row>
    <row r="14" spans="1:12" ht="15.75" thickBot="1" x14ac:dyDescent="0.3">
      <c r="A14" s="543" t="s">
        <v>94</v>
      </c>
      <c r="B14" s="542" t="s">
        <v>11</v>
      </c>
      <c r="C14" s="324" t="s">
        <v>321</v>
      </c>
      <c r="D14" s="325" t="s">
        <v>304</v>
      </c>
      <c r="E14" s="326">
        <f>'10. Society'!$B$5</f>
        <v>0</v>
      </c>
      <c r="F14" s="326">
        <f>'10. Society'!$G$5</f>
        <v>0</v>
      </c>
      <c r="G14" s="326">
        <f t="shared" si="0"/>
        <v>0</v>
      </c>
      <c r="H14" s="261"/>
      <c r="I14" s="261"/>
      <c r="J14" s="326" t="e">
        <f t="shared" si="3"/>
        <v>#DIV/0!</v>
      </c>
      <c r="K14" s="261"/>
      <c r="L14" s="326" t="e">
        <f t="shared" si="2"/>
        <v>#DIV/0!</v>
      </c>
    </row>
    <row r="15" spans="1:12" ht="30.75" thickBot="1" x14ac:dyDescent="0.3">
      <c r="A15" s="544"/>
      <c r="B15" s="542"/>
      <c r="C15" s="324" t="s">
        <v>322</v>
      </c>
      <c r="D15" s="325" t="s">
        <v>306</v>
      </c>
      <c r="E15" s="326">
        <f>'10. Society'!$B$11</f>
        <v>0</v>
      </c>
      <c r="F15" s="326">
        <f>'10. Society'!$G$11</f>
        <v>0</v>
      </c>
      <c r="G15" s="326">
        <f t="shared" si="0"/>
        <v>0</v>
      </c>
      <c r="H15" s="261"/>
      <c r="I15" s="261"/>
      <c r="J15" s="326" t="e">
        <f t="shared" si="3"/>
        <v>#DIV/0!</v>
      </c>
      <c r="K15" s="261"/>
      <c r="L15" s="326" t="e">
        <f t="shared" si="2"/>
        <v>#DIV/0!</v>
      </c>
    </row>
    <row r="16" spans="1:12" ht="45.75" thickBot="1" x14ac:dyDescent="0.3">
      <c r="A16" s="544"/>
      <c r="B16" s="324" t="s">
        <v>24</v>
      </c>
      <c r="C16" s="324" t="s">
        <v>323</v>
      </c>
      <c r="D16" s="325" t="s">
        <v>305</v>
      </c>
      <c r="E16" s="546">
        <f>'10. Society'!$B$18+'10. Society'!$D$18</f>
        <v>0</v>
      </c>
      <c r="F16" s="547"/>
      <c r="G16" s="326">
        <f>E16</f>
        <v>0</v>
      </c>
      <c r="H16" s="261"/>
      <c r="I16" s="261"/>
      <c r="J16" s="326" t="e">
        <f t="shared" si="1"/>
        <v>#DIV/0!</v>
      </c>
      <c r="K16" s="261"/>
      <c r="L16" s="326" t="e">
        <f t="shared" si="2"/>
        <v>#DIV/0!</v>
      </c>
    </row>
    <row r="17" spans="1:12" ht="45.75" thickBot="1" x14ac:dyDescent="0.3">
      <c r="A17" s="544"/>
      <c r="B17" s="324" t="s">
        <v>25</v>
      </c>
      <c r="C17" s="324" t="s">
        <v>324</v>
      </c>
      <c r="D17" s="325" t="s">
        <v>326</v>
      </c>
      <c r="E17" s="546">
        <f>'15. Overview_qual. appraisal'!G7</f>
        <v>0</v>
      </c>
      <c r="F17" s="547"/>
      <c r="G17" s="326">
        <f>E17</f>
        <v>0</v>
      </c>
      <c r="H17" s="261"/>
      <c r="I17" s="261"/>
      <c r="J17" s="326" t="e">
        <f t="shared" si="1"/>
        <v>#DIV/0!</v>
      </c>
      <c r="K17" s="261"/>
      <c r="L17" s="326" t="e">
        <f t="shared" si="2"/>
        <v>#DIV/0!</v>
      </c>
    </row>
    <row r="18" spans="1:12" ht="30.75" thickBot="1" x14ac:dyDescent="0.3">
      <c r="A18" s="545"/>
      <c r="B18" s="325" t="s">
        <v>26</v>
      </c>
      <c r="C18" s="324" t="s">
        <v>325</v>
      </c>
      <c r="D18" s="327" t="s">
        <v>283</v>
      </c>
      <c r="E18" s="546">
        <f>'15. Overview_qual. appraisal'!G8</f>
        <v>0</v>
      </c>
      <c r="F18" s="547"/>
      <c r="G18" s="326">
        <v>0</v>
      </c>
      <c r="H18" s="261"/>
      <c r="I18" s="261"/>
      <c r="J18" s="326" t="e">
        <f t="shared" si="1"/>
        <v>#DIV/0!</v>
      </c>
      <c r="K18" s="261"/>
      <c r="L18" s="326" t="e">
        <f t="shared" si="2"/>
        <v>#DIV/0!</v>
      </c>
    </row>
    <row r="19" spans="1:12" ht="30.75" thickBot="1" x14ac:dyDescent="0.3">
      <c r="A19" s="541" t="s">
        <v>119</v>
      </c>
      <c r="B19" s="328" t="s">
        <v>27</v>
      </c>
      <c r="C19" s="328" t="s">
        <v>330</v>
      </c>
      <c r="D19" s="329" t="s">
        <v>308</v>
      </c>
      <c r="E19" s="330">
        <f>'11. Private Business'!$B$16</f>
        <v>0</v>
      </c>
      <c r="F19" s="330">
        <f>'11. Private Business'!$N$16</f>
        <v>0</v>
      </c>
      <c r="G19" s="330">
        <f t="shared" si="0"/>
        <v>0</v>
      </c>
      <c r="H19" s="262"/>
      <c r="I19" s="262"/>
      <c r="J19" s="330" t="e">
        <f t="shared" si="1"/>
        <v>#DIV/0!</v>
      </c>
      <c r="K19" s="262"/>
      <c r="L19" s="330" t="e">
        <f t="shared" si="2"/>
        <v>#DIV/0!</v>
      </c>
    </row>
    <row r="20" spans="1:12" ht="30.75" thickBot="1" x14ac:dyDescent="0.3">
      <c r="A20" s="541"/>
      <c r="B20" s="328" t="s">
        <v>22</v>
      </c>
      <c r="C20" s="328" t="s">
        <v>331</v>
      </c>
      <c r="D20" s="328" t="s">
        <v>307</v>
      </c>
      <c r="E20" s="330">
        <f>'11. Private Business'!$B$22</f>
        <v>0</v>
      </c>
      <c r="F20" s="330">
        <f>'11. Private Business'!$N$22</f>
        <v>0</v>
      </c>
      <c r="G20" s="330">
        <f t="shared" si="0"/>
        <v>0</v>
      </c>
      <c r="H20" s="262"/>
      <c r="I20" s="262"/>
      <c r="J20" s="330" t="e">
        <f t="shared" si="1"/>
        <v>#DIV/0!</v>
      </c>
      <c r="K20" s="262"/>
      <c r="L20" s="330" t="e">
        <f t="shared" si="2"/>
        <v>#DIV/0!</v>
      </c>
    </row>
    <row r="21" spans="1:12" ht="30.75" thickBot="1" x14ac:dyDescent="0.3">
      <c r="A21" s="541"/>
      <c r="B21" s="328" t="s">
        <v>28</v>
      </c>
      <c r="C21" s="328" t="s">
        <v>332</v>
      </c>
      <c r="D21" s="331" t="s">
        <v>481</v>
      </c>
      <c r="E21" s="550">
        <f>'15. Overview_qual. appraisal'!G9</f>
        <v>0</v>
      </c>
      <c r="F21" s="551"/>
      <c r="G21" s="330">
        <f>E21</f>
        <v>0</v>
      </c>
      <c r="H21" s="262"/>
      <c r="I21" s="262"/>
      <c r="J21" s="330" t="e">
        <f t="shared" si="1"/>
        <v>#DIV/0!</v>
      </c>
      <c r="K21" s="262"/>
      <c r="L21" s="330" t="e">
        <f t="shared" si="2"/>
        <v>#DIV/0!</v>
      </c>
    </row>
    <row r="22" spans="1:12" ht="15.75" customHeight="1" thickBot="1" x14ac:dyDescent="0.3">
      <c r="A22" s="535" t="s">
        <v>96</v>
      </c>
      <c r="B22" s="536"/>
      <c r="C22" s="536"/>
      <c r="D22" s="536"/>
      <c r="E22" s="536"/>
      <c r="F22" s="536"/>
      <c r="G22" s="536"/>
      <c r="H22" s="536"/>
      <c r="I22" s="536"/>
      <c r="J22" s="536"/>
      <c r="K22" s="536"/>
      <c r="L22" s="332" t="e">
        <f>SUM(L5:L21)</f>
        <v>#DIV/0!</v>
      </c>
    </row>
    <row r="23" spans="1:12" s="25" customFormat="1" x14ac:dyDescent="0.25"/>
    <row r="24" spans="1:12" s="25" customFormat="1" x14ac:dyDescent="0.25"/>
    <row r="25" spans="1:12" s="25" customFormat="1" x14ac:dyDescent="0.25"/>
    <row r="26" spans="1:12" s="25" customFormat="1" x14ac:dyDescent="0.25"/>
    <row r="27" spans="1:12" s="25" customFormat="1" x14ac:dyDescent="0.25"/>
    <row r="28" spans="1:12" s="25" customFormat="1" x14ac:dyDescent="0.25"/>
    <row r="29" spans="1:12" s="25" customFormat="1" x14ac:dyDescent="0.25"/>
    <row r="30" spans="1:12" s="25" customFormat="1" x14ac:dyDescent="0.25"/>
    <row r="31" spans="1:12" s="25" customFormat="1" x14ac:dyDescent="0.25"/>
    <row r="32" spans="1:12" s="25" customFormat="1" x14ac:dyDescent="0.25"/>
    <row r="33" s="25" customFormat="1" x14ac:dyDescent="0.25"/>
    <row r="34" s="25" customFormat="1" x14ac:dyDescent="0.25"/>
    <row r="35" s="25" customFormat="1" x14ac:dyDescent="0.25"/>
    <row r="36" s="25" customFormat="1" x14ac:dyDescent="0.25"/>
    <row r="37" s="25" customFormat="1" x14ac:dyDescent="0.25"/>
    <row r="38" s="25" customFormat="1" x14ac:dyDescent="0.25"/>
    <row r="39" s="25" customFormat="1" x14ac:dyDescent="0.25"/>
    <row r="40" s="25" customFormat="1" x14ac:dyDescent="0.25"/>
    <row r="41" s="25" customFormat="1" x14ac:dyDescent="0.25"/>
    <row r="42" s="25" customFormat="1" x14ac:dyDescent="0.25"/>
    <row r="43" s="25" customFormat="1" x14ac:dyDescent="0.25"/>
    <row r="44" s="25" customFormat="1" x14ac:dyDescent="0.25"/>
    <row r="45" s="25" customFormat="1" x14ac:dyDescent="0.25"/>
    <row r="46" s="25" customFormat="1" x14ac:dyDescent="0.25"/>
    <row r="47" s="25" customFormat="1" x14ac:dyDescent="0.25"/>
    <row r="48" s="25" customFormat="1" x14ac:dyDescent="0.25"/>
    <row r="49" s="25" customFormat="1" x14ac:dyDescent="0.25"/>
    <row r="50" s="25" customFormat="1" x14ac:dyDescent="0.25"/>
    <row r="51" s="25" customFormat="1" x14ac:dyDescent="0.25"/>
    <row r="52" s="25" customFormat="1" x14ac:dyDescent="0.25"/>
    <row r="53" s="25" customFormat="1" x14ac:dyDescent="0.25"/>
    <row r="54" s="25" customFormat="1" x14ac:dyDescent="0.25"/>
    <row r="55" s="25" customFormat="1" x14ac:dyDescent="0.25"/>
    <row r="56" s="25" customFormat="1" x14ac:dyDescent="0.25"/>
    <row r="57" s="25" customFormat="1" x14ac:dyDescent="0.25"/>
    <row r="58" s="25" customFormat="1" x14ac:dyDescent="0.25"/>
    <row r="59" s="25" customFormat="1" x14ac:dyDescent="0.25"/>
    <row r="60" s="25" customFormat="1" x14ac:dyDescent="0.25"/>
    <row r="61" s="25" customFormat="1" x14ac:dyDescent="0.25"/>
    <row r="62" s="25" customFormat="1" x14ac:dyDescent="0.25"/>
    <row r="63" s="25" customFormat="1" x14ac:dyDescent="0.25"/>
    <row r="64" s="25" customFormat="1" x14ac:dyDescent="0.25"/>
    <row r="65" s="25" customFormat="1" x14ac:dyDescent="0.25"/>
    <row r="66" s="25" customFormat="1" x14ac:dyDescent="0.25"/>
    <row r="67" s="25" customFormat="1" x14ac:dyDescent="0.25"/>
    <row r="68" s="25" customFormat="1" x14ac:dyDescent="0.25"/>
    <row r="69" s="25" customFormat="1" x14ac:dyDescent="0.25"/>
    <row r="70" s="25" customFormat="1" x14ac:dyDescent="0.25"/>
    <row r="71" s="25" customFormat="1" x14ac:dyDescent="0.25"/>
    <row r="72" s="25" customFormat="1" x14ac:dyDescent="0.25"/>
    <row r="73" s="25" customFormat="1" x14ac:dyDescent="0.25"/>
    <row r="74" s="25" customFormat="1" x14ac:dyDescent="0.25"/>
    <row r="75" s="25" customFormat="1" x14ac:dyDescent="0.25"/>
    <row r="76" s="25" customFormat="1" x14ac:dyDescent="0.25"/>
    <row r="77" s="25" customFormat="1" x14ac:dyDescent="0.25"/>
    <row r="78" s="25" customFormat="1" x14ac:dyDescent="0.25"/>
    <row r="79" s="25" customFormat="1" x14ac:dyDescent="0.25"/>
    <row r="80" s="25" customFormat="1" x14ac:dyDescent="0.25"/>
    <row r="81" s="25" customFormat="1" x14ac:dyDescent="0.25"/>
    <row r="82" s="25" customFormat="1" x14ac:dyDescent="0.25"/>
    <row r="83" s="25" customFormat="1" x14ac:dyDescent="0.25"/>
    <row r="84" s="25" customFormat="1" x14ac:dyDescent="0.25"/>
    <row r="85" s="25" customFormat="1" x14ac:dyDescent="0.25"/>
    <row r="86" s="25" customFormat="1" x14ac:dyDescent="0.25"/>
    <row r="87" s="25" customFormat="1" x14ac:dyDescent="0.25"/>
    <row r="88" s="25" customFormat="1" x14ac:dyDescent="0.25"/>
    <row r="89" s="25" customFormat="1" x14ac:dyDescent="0.25"/>
    <row r="90" s="25" customFormat="1" x14ac:dyDescent="0.25"/>
    <row r="91" s="25" customFormat="1" x14ac:dyDescent="0.25"/>
    <row r="92" s="25" customFormat="1" x14ac:dyDescent="0.25"/>
    <row r="93" s="25" customFormat="1" x14ac:dyDescent="0.25"/>
    <row r="94" s="25" customFormat="1" x14ac:dyDescent="0.25"/>
    <row r="95" s="25" customFormat="1" x14ac:dyDescent="0.25"/>
    <row r="96" s="25" customFormat="1" x14ac:dyDescent="0.25"/>
    <row r="97" s="25" customFormat="1" x14ac:dyDescent="0.25"/>
    <row r="98" s="25" customFormat="1" x14ac:dyDescent="0.25"/>
    <row r="99" s="25" customFormat="1" x14ac:dyDescent="0.25"/>
    <row r="100" s="25" customFormat="1" x14ac:dyDescent="0.25"/>
    <row r="101" s="25" customFormat="1" x14ac:dyDescent="0.25"/>
    <row r="102" s="25" customFormat="1" x14ac:dyDescent="0.25"/>
    <row r="103" s="25" customFormat="1" x14ac:dyDescent="0.25"/>
    <row r="104" s="25" customFormat="1" x14ac:dyDescent="0.25"/>
    <row r="105" s="25" customFormat="1" x14ac:dyDescent="0.25"/>
    <row r="106" s="25" customFormat="1" x14ac:dyDescent="0.25"/>
    <row r="107" s="25" customFormat="1" x14ac:dyDescent="0.25"/>
    <row r="108" s="25" customFormat="1" x14ac:dyDescent="0.25"/>
    <row r="109" s="25" customFormat="1" x14ac:dyDescent="0.25"/>
    <row r="110" s="25" customFormat="1" x14ac:dyDescent="0.25"/>
    <row r="111" s="25" customFormat="1" x14ac:dyDescent="0.25"/>
    <row r="112" s="25" customFormat="1" x14ac:dyDescent="0.25"/>
    <row r="113" s="25" customFormat="1" x14ac:dyDescent="0.25"/>
    <row r="114" s="25" customFormat="1" x14ac:dyDescent="0.25"/>
    <row r="115" s="25" customFormat="1" x14ac:dyDescent="0.25"/>
    <row r="116" s="25" customFormat="1" x14ac:dyDescent="0.25"/>
    <row r="117" s="25" customFormat="1" x14ac:dyDescent="0.25"/>
    <row r="118" s="25" customFormat="1" x14ac:dyDescent="0.25"/>
    <row r="119" s="25" customFormat="1" x14ac:dyDescent="0.25"/>
    <row r="120" s="25" customFormat="1" x14ac:dyDescent="0.25"/>
    <row r="121" s="25" customFormat="1" x14ac:dyDescent="0.25"/>
    <row r="122" s="25" customFormat="1" x14ac:dyDescent="0.25"/>
    <row r="123" s="25" customFormat="1" x14ac:dyDescent="0.25"/>
    <row r="124" s="25" customFormat="1" x14ac:dyDescent="0.25"/>
    <row r="125" s="25" customFormat="1" x14ac:dyDescent="0.25"/>
    <row r="126" s="25" customFormat="1" x14ac:dyDescent="0.25"/>
    <row r="127" s="25" customFormat="1" x14ac:dyDescent="0.25"/>
    <row r="128" s="25" customFormat="1" x14ac:dyDescent="0.25"/>
    <row r="129" s="25" customFormat="1" x14ac:dyDescent="0.25"/>
    <row r="130" s="25" customFormat="1" x14ac:dyDescent="0.25"/>
    <row r="131" s="25" customFormat="1" x14ac:dyDescent="0.25"/>
    <row r="132" s="25" customFormat="1" x14ac:dyDescent="0.25"/>
    <row r="133" s="25" customFormat="1" x14ac:dyDescent="0.25"/>
    <row r="134" s="25" customFormat="1" x14ac:dyDescent="0.25"/>
    <row r="135" s="25" customFormat="1" x14ac:dyDescent="0.25"/>
    <row r="136" s="25" customFormat="1" x14ac:dyDescent="0.25"/>
    <row r="137" s="25" customFormat="1" x14ac:dyDescent="0.25"/>
    <row r="138" s="25" customFormat="1" x14ac:dyDescent="0.25"/>
    <row r="139" s="25" customFormat="1" x14ac:dyDescent="0.25"/>
    <row r="140" s="25" customFormat="1" x14ac:dyDescent="0.25"/>
    <row r="141" s="25" customFormat="1" x14ac:dyDescent="0.25"/>
    <row r="142" s="25" customFormat="1" x14ac:dyDescent="0.25"/>
    <row r="143" s="25" customFormat="1" x14ac:dyDescent="0.25"/>
    <row r="144" s="25" customFormat="1" x14ac:dyDescent="0.25"/>
    <row r="145" s="25" customFormat="1" x14ac:dyDescent="0.25"/>
    <row r="146" s="25" customFormat="1" x14ac:dyDescent="0.25"/>
    <row r="147" s="25" customFormat="1" x14ac:dyDescent="0.25"/>
    <row r="148" s="25" customFormat="1" x14ac:dyDescent="0.25"/>
    <row r="149" s="25" customFormat="1" x14ac:dyDescent="0.25"/>
    <row r="150" s="25" customFormat="1" x14ac:dyDescent="0.25"/>
    <row r="151" s="25" customFormat="1" x14ac:dyDescent="0.25"/>
    <row r="152" s="25" customFormat="1" x14ac:dyDescent="0.25"/>
    <row r="153" s="25" customFormat="1" x14ac:dyDescent="0.25"/>
    <row r="154" s="25" customFormat="1" x14ac:dyDescent="0.25"/>
    <row r="155" s="25" customFormat="1" x14ac:dyDescent="0.25"/>
    <row r="156" s="25" customFormat="1" x14ac:dyDescent="0.25"/>
    <row r="157" s="25" customFormat="1" x14ac:dyDescent="0.25"/>
    <row r="158" s="25" customFormat="1" x14ac:dyDescent="0.25"/>
    <row r="159" s="25" customFormat="1" x14ac:dyDescent="0.25"/>
    <row r="160" s="25" customFormat="1" x14ac:dyDescent="0.25"/>
    <row r="161" s="25" customFormat="1" x14ac:dyDescent="0.25"/>
    <row r="162" s="25" customFormat="1" x14ac:dyDescent="0.25"/>
    <row r="163" s="25" customFormat="1" x14ac:dyDescent="0.25"/>
    <row r="164" s="25" customFormat="1" x14ac:dyDescent="0.25"/>
    <row r="165" s="25" customFormat="1" x14ac:dyDescent="0.25"/>
    <row r="166" s="25" customFormat="1" x14ac:dyDescent="0.25"/>
    <row r="167" s="25" customFormat="1" x14ac:dyDescent="0.25"/>
    <row r="168" s="25" customFormat="1" x14ac:dyDescent="0.25"/>
    <row r="169" s="25" customFormat="1" x14ac:dyDescent="0.25"/>
    <row r="170" s="25" customFormat="1" x14ac:dyDescent="0.25"/>
    <row r="171" s="25" customFormat="1" x14ac:dyDescent="0.25"/>
    <row r="172" s="25" customFormat="1" x14ac:dyDescent="0.25"/>
    <row r="173" s="25" customFormat="1" x14ac:dyDescent="0.25"/>
    <row r="174" s="25" customFormat="1" x14ac:dyDescent="0.25"/>
    <row r="175" s="25" customFormat="1" x14ac:dyDescent="0.25"/>
    <row r="176" s="25" customFormat="1" x14ac:dyDescent="0.25"/>
    <row r="177" s="25" customFormat="1" x14ac:dyDescent="0.25"/>
    <row r="178" s="25" customFormat="1" x14ac:dyDescent="0.25"/>
    <row r="179" s="25" customFormat="1" x14ac:dyDescent="0.25"/>
    <row r="180" s="25" customFormat="1" x14ac:dyDescent="0.25"/>
    <row r="181" s="25" customFormat="1" x14ac:dyDescent="0.25"/>
    <row r="182" s="25" customFormat="1" x14ac:dyDescent="0.25"/>
    <row r="183" s="25" customFormat="1" x14ac:dyDescent="0.25"/>
    <row r="184" s="25" customFormat="1" x14ac:dyDescent="0.25"/>
    <row r="185" s="25" customFormat="1" x14ac:dyDescent="0.25"/>
    <row r="186" s="25" customFormat="1" x14ac:dyDescent="0.25"/>
    <row r="187" s="25" customFormat="1" x14ac:dyDescent="0.25"/>
    <row r="188" s="25" customFormat="1" x14ac:dyDescent="0.25"/>
    <row r="189" s="25" customFormat="1" x14ac:dyDescent="0.25"/>
    <row r="190" s="25" customFormat="1" x14ac:dyDescent="0.25"/>
    <row r="191" s="25" customFormat="1" x14ac:dyDescent="0.25"/>
    <row r="192" s="25" customFormat="1" x14ac:dyDescent="0.25"/>
    <row r="193" s="25" customFormat="1" x14ac:dyDescent="0.25"/>
    <row r="194" s="25" customFormat="1" x14ac:dyDescent="0.25"/>
    <row r="195" s="25" customFormat="1" x14ac:dyDescent="0.25"/>
    <row r="196" s="25" customFormat="1" x14ac:dyDescent="0.25"/>
    <row r="197" s="25" customFormat="1" x14ac:dyDescent="0.25"/>
    <row r="198" s="25" customFormat="1" x14ac:dyDescent="0.25"/>
    <row r="199" s="25" customFormat="1" x14ac:dyDescent="0.25"/>
    <row r="200" s="25" customFormat="1" x14ac:dyDescent="0.25"/>
    <row r="201" s="25" customFormat="1" x14ac:dyDescent="0.25"/>
    <row r="202" s="25" customFormat="1" x14ac:dyDescent="0.25"/>
    <row r="203" s="25" customFormat="1" x14ac:dyDescent="0.25"/>
    <row r="204" s="25" customFormat="1" x14ac:dyDescent="0.25"/>
    <row r="205" s="25" customFormat="1" x14ac:dyDescent="0.25"/>
    <row r="206" s="25" customFormat="1" x14ac:dyDescent="0.25"/>
    <row r="207" s="25" customFormat="1" x14ac:dyDescent="0.25"/>
    <row r="208" s="25" customFormat="1" x14ac:dyDescent="0.25"/>
    <row r="209" s="25" customFormat="1" x14ac:dyDescent="0.25"/>
    <row r="210" s="25" customFormat="1" x14ac:dyDescent="0.25"/>
    <row r="211" s="25" customFormat="1" x14ac:dyDescent="0.25"/>
    <row r="212" s="25" customFormat="1" x14ac:dyDescent="0.25"/>
    <row r="213" s="25" customFormat="1" x14ac:dyDescent="0.25"/>
    <row r="214" s="25" customFormat="1" x14ac:dyDescent="0.25"/>
    <row r="215" s="25" customFormat="1" x14ac:dyDescent="0.25"/>
    <row r="216" s="25" customFormat="1" x14ac:dyDescent="0.25"/>
    <row r="217" s="25" customFormat="1" x14ac:dyDescent="0.25"/>
    <row r="218" s="25" customFormat="1" x14ac:dyDescent="0.25"/>
    <row r="219" s="25" customFormat="1" x14ac:dyDescent="0.25"/>
    <row r="220" s="25" customFormat="1" x14ac:dyDescent="0.25"/>
    <row r="221" s="25" customFormat="1" x14ac:dyDescent="0.25"/>
    <row r="222" s="25" customFormat="1" x14ac:dyDescent="0.25"/>
    <row r="223" s="25" customFormat="1" x14ac:dyDescent="0.25"/>
    <row r="224" s="25" customFormat="1" x14ac:dyDescent="0.25"/>
    <row r="225" s="25" customFormat="1" x14ac:dyDescent="0.25"/>
    <row r="226" s="25" customFormat="1" x14ac:dyDescent="0.25"/>
    <row r="227" s="25" customFormat="1" x14ac:dyDescent="0.25"/>
    <row r="228" s="25" customFormat="1" x14ac:dyDescent="0.25"/>
    <row r="229" s="25" customFormat="1" x14ac:dyDescent="0.25"/>
    <row r="230" s="25" customFormat="1" x14ac:dyDescent="0.25"/>
    <row r="231" s="25" customFormat="1" x14ac:dyDescent="0.25"/>
    <row r="232" s="25" customFormat="1" x14ac:dyDescent="0.25"/>
    <row r="233" s="25" customFormat="1" x14ac:dyDescent="0.25"/>
    <row r="234" s="25" customFormat="1" x14ac:dyDescent="0.25"/>
    <row r="235" s="25" customFormat="1" x14ac:dyDescent="0.25"/>
    <row r="236" s="25" customFormat="1" x14ac:dyDescent="0.25"/>
    <row r="237" s="25" customFormat="1" x14ac:dyDescent="0.25"/>
    <row r="238" s="25" customFormat="1" x14ac:dyDescent="0.25"/>
    <row r="239" s="25" customFormat="1" x14ac:dyDescent="0.25"/>
    <row r="240" s="25" customFormat="1" x14ac:dyDescent="0.25"/>
    <row r="241" s="25" customFormat="1" x14ac:dyDescent="0.25"/>
    <row r="242" s="25" customFormat="1" x14ac:dyDescent="0.25"/>
    <row r="243" s="25" customFormat="1" x14ac:dyDescent="0.25"/>
    <row r="244" s="25" customFormat="1" x14ac:dyDescent="0.25"/>
    <row r="245" s="25" customFormat="1" x14ac:dyDescent="0.25"/>
    <row r="246" s="25" customFormat="1" x14ac:dyDescent="0.25"/>
    <row r="247" s="25" customFormat="1" x14ac:dyDescent="0.25"/>
    <row r="248" s="25" customFormat="1" x14ac:dyDescent="0.25"/>
    <row r="249" s="25" customFormat="1" x14ac:dyDescent="0.25"/>
    <row r="250" s="25" customFormat="1" x14ac:dyDescent="0.25"/>
    <row r="251" s="25" customFormat="1" x14ac:dyDescent="0.25"/>
    <row r="252" s="25" customFormat="1" x14ac:dyDescent="0.25"/>
    <row r="253" s="25" customFormat="1" x14ac:dyDescent="0.25"/>
    <row r="254" s="25" customFormat="1" x14ac:dyDescent="0.25"/>
    <row r="255" s="25" customFormat="1" x14ac:dyDescent="0.25"/>
    <row r="256" s="25" customFormat="1" x14ac:dyDescent="0.25"/>
    <row r="257" s="25" customFormat="1" x14ac:dyDescent="0.25"/>
    <row r="258" s="25" customFormat="1" x14ac:dyDescent="0.25"/>
    <row r="259" s="25" customFormat="1" x14ac:dyDescent="0.25"/>
    <row r="260" s="25" customFormat="1" x14ac:dyDescent="0.25"/>
    <row r="261" s="25" customFormat="1" x14ac:dyDescent="0.25"/>
    <row r="262" s="25" customFormat="1" x14ac:dyDescent="0.25"/>
    <row r="263" s="25" customFormat="1" x14ac:dyDescent="0.25"/>
    <row r="264" s="25" customFormat="1" x14ac:dyDescent="0.25"/>
    <row r="265" s="25" customFormat="1" x14ac:dyDescent="0.25"/>
    <row r="266" s="25" customFormat="1" x14ac:dyDescent="0.25"/>
    <row r="267" s="25" customFormat="1" x14ac:dyDescent="0.25"/>
    <row r="268" s="25" customFormat="1" x14ac:dyDescent="0.25"/>
    <row r="269" s="25" customFormat="1" x14ac:dyDescent="0.25"/>
    <row r="270" s="25" customFormat="1" x14ac:dyDescent="0.25"/>
    <row r="271" s="25" customFormat="1" x14ac:dyDescent="0.25"/>
    <row r="272" s="25" customFormat="1" x14ac:dyDescent="0.25"/>
    <row r="273" s="25" customFormat="1" x14ac:dyDescent="0.25"/>
    <row r="274" s="25" customFormat="1" x14ac:dyDescent="0.25"/>
    <row r="275" s="25" customFormat="1" x14ac:dyDescent="0.25"/>
    <row r="276" s="25" customFormat="1" x14ac:dyDescent="0.25"/>
    <row r="277" s="25" customFormat="1" x14ac:dyDescent="0.25"/>
    <row r="278" s="25" customFormat="1" x14ac:dyDescent="0.25"/>
    <row r="279" s="25" customFormat="1" x14ac:dyDescent="0.25"/>
    <row r="280" s="25" customFormat="1" x14ac:dyDescent="0.25"/>
    <row r="281" s="25" customFormat="1" x14ac:dyDescent="0.25"/>
    <row r="282" s="25" customFormat="1" x14ac:dyDescent="0.25"/>
    <row r="283" s="25" customFormat="1" x14ac:dyDescent="0.25"/>
    <row r="284" s="25" customFormat="1" x14ac:dyDescent="0.25"/>
    <row r="285" s="25" customFormat="1" x14ac:dyDescent="0.25"/>
    <row r="286" s="25" customFormat="1" x14ac:dyDescent="0.25"/>
    <row r="287" s="25" customFormat="1" x14ac:dyDescent="0.25"/>
    <row r="288" s="25" customFormat="1" x14ac:dyDescent="0.25"/>
    <row r="289" s="25" customFormat="1" x14ac:dyDescent="0.25"/>
    <row r="290" s="25" customFormat="1" x14ac:dyDescent="0.25"/>
    <row r="291" s="25" customFormat="1" x14ac:dyDescent="0.25"/>
    <row r="292" s="25" customFormat="1" x14ac:dyDescent="0.25"/>
    <row r="293" s="25" customFormat="1" x14ac:dyDescent="0.25"/>
    <row r="294" s="25" customFormat="1" x14ac:dyDescent="0.25"/>
    <row r="295" s="25" customFormat="1" x14ac:dyDescent="0.25"/>
    <row r="296" s="25" customFormat="1" x14ac:dyDescent="0.25"/>
    <row r="297" s="25" customFormat="1" x14ac:dyDescent="0.25"/>
    <row r="298" s="25" customFormat="1" x14ac:dyDescent="0.25"/>
    <row r="299" s="25" customFormat="1" x14ac:dyDescent="0.25"/>
  </sheetData>
  <sheetProtection algorithmName="SHA-512" hashValue="Mj250xyKy3JVMEMdo8lwIGcq8x+BgdVZZDuDuYphkHnB00Jc/vPdXDb8I++Mr5VDCK8xWkqJQG6wZ+hHEn5jyg==" saltValue="ZjhTHnrniPI13uKjGcbraw==" spinCount="100000" sheet="1" objects="1" scenarios="1" selectLockedCells="1"/>
  <mergeCells count="17">
    <mergeCell ref="A1:L1"/>
    <mergeCell ref="A5:A6"/>
    <mergeCell ref="B5:B6"/>
    <mergeCell ref="B9:B11"/>
    <mergeCell ref="A9:A13"/>
    <mergeCell ref="E12:F12"/>
    <mergeCell ref="A22:K22"/>
    <mergeCell ref="B7:B8"/>
    <mergeCell ref="A7:A8"/>
    <mergeCell ref="A19:A21"/>
    <mergeCell ref="B14:B15"/>
    <mergeCell ref="A14:A18"/>
    <mergeCell ref="E18:F18"/>
    <mergeCell ref="E17:F17"/>
    <mergeCell ref="E13:F13"/>
    <mergeCell ref="E16:F16"/>
    <mergeCell ref="E21:F21"/>
  </mergeCells>
  <pageMargins left="0.7" right="0.7" top="0.78740157499999996" bottom="0.78740157499999996" header="0.3" footer="0.3"/>
  <pageSetup paperSize="8" scale="82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5">
    <tabColor rgb="FFBCCF2F"/>
  </sheetPr>
  <dimension ref="A1:Y155"/>
  <sheetViews>
    <sheetView zoomScaleNormal="100" workbookViewId="0">
      <selection sqref="A1:G28"/>
    </sheetView>
  </sheetViews>
  <sheetFormatPr baseColWidth="10" defaultColWidth="11.42578125" defaultRowHeight="15" x14ac:dyDescent="0.25"/>
  <cols>
    <col min="1" max="1" width="12.5703125" customWidth="1"/>
    <col min="2" max="2" width="29.5703125" customWidth="1"/>
    <col min="3" max="3" width="9.85546875" customWidth="1"/>
    <col min="4" max="4" width="68.5703125" bestFit="1" customWidth="1"/>
    <col min="5" max="5" width="14.5703125" customWidth="1"/>
    <col min="6" max="6" width="16.85546875" customWidth="1"/>
    <col min="7" max="7" width="15.85546875" customWidth="1"/>
    <col min="8" max="25" width="11.42578125" style="25"/>
  </cols>
  <sheetData>
    <row r="1" spans="1:7" ht="24" customHeight="1" thickBot="1" x14ac:dyDescent="0.4">
      <c r="A1" s="569" t="s">
        <v>374</v>
      </c>
      <c r="B1" s="570"/>
      <c r="C1" s="570"/>
      <c r="D1" s="570"/>
      <c r="E1" s="570"/>
      <c r="F1" s="570"/>
      <c r="G1" s="570"/>
    </row>
    <row r="2" spans="1:7" ht="15.75" thickBot="1" x14ac:dyDescent="0.3">
      <c r="A2" s="20"/>
      <c r="B2" s="18"/>
      <c r="C2" s="18"/>
      <c r="D2" s="18"/>
      <c r="E2" s="18"/>
      <c r="F2" s="18"/>
      <c r="G2" s="18"/>
    </row>
    <row r="3" spans="1:7" ht="16.5" thickBot="1" x14ac:dyDescent="0.3">
      <c r="A3" s="573" t="s">
        <v>139</v>
      </c>
      <c r="B3" s="574"/>
      <c r="C3" s="575"/>
      <c r="D3" s="13"/>
      <c r="E3" s="13"/>
      <c r="F3" s="18"/>
      <c r="G3" s="18"/>
    </row>
    <row r="4" spans="1:7" ht="16.5" customHeight="1" thickBot="1" x14ac:dyDescent="0.3">
      <c r="A4" s="572" t="s">
        <v>140</v>
      </c>
      <c r="B4" s="572"/>
      <c r="C4" s="572"/>
      <c r="D4" s="25"/>
      <c r="E4" s="25"/>
      <c r="F4" s="18"/>
      <c r="G4" s="19"/>
    </row>
    <row r="5" spans="1:7" ht="15.75" customHeight="1" thickBot="1" x14ac:dyDescent="0.3">
      <c r="A5" s="571" t="s">
        <v>137</v>
      </c>
      <c r="B5" s="571"/>
      <c r="C5" s="108">
        <f>G28</f>
        <v>0</v>
      </c>
      <c r="D5" s="25"/>
      <c r="E5" s="25"/>
      <c r="F5" s="18"/>
      <c r="G5" s="19"/>
    </row>
    <row r="6" spans="1:7" ht="15.75" customHeight="1" thickBot="1" x14ac:dyDescent="0.3">
      <c r="A6" s="571" t="s">
        <v>138</v>
      </c>
      <c r="B6" s="571"/>
      <c r="C6" s="108">
        <f>E15</f>
        <v>0</v>
      </c>
      <c r="D6" s="25"/>
      <c r="E6" s="25"/>
      <c r="F6" s="18"/>
      <c r="G6" s="19"/>
    </row>
    <row r="7" spans="1:7" ht="15.75" customHeight="1" thickBot="1" x14ac:dyDescent="0.3">
      <c r="A7" s="27" t="s">
        <v>475</v>
      </c>
      <c r="B7" s="27"/>
      <c r="C7" s="127" t="e">
        <f>C5/C6</f>
        <v>#DIV/0!</v>
      </c>
      <c r="D7" s="25"/>
      <c r="E7" s="25"/>
      <c r="F7" s="18"/>
      <c r="G7" s="19"/>
    </row>
    <row r="8" spans="1:7" ht="15.75" customHeight="1" thickBot="1" x14ac:dyDescent="0.3">
      <c r="A8" s="26" t="s">
        <v>136</v>
      </c>
      <c r="B8" s="26"/>
      <c r="C8" s="109">
        <f>C5-C6</f>
        <v>0</v>
      </c>
      <c r="D8" s="25"/>
      <c r="E8" s="25"/>
      <c r="F8" s="18"/>
      <c r="G8" s="19"/>
    </row>
    <row r="9" spans="1:7" ht="15.75" thickBot="1" x14ac:dyDescent="0.3">
      <c r="A9" s="20"/>
      <c r="B9" s="18"/>
      <c r="C9" s="18"/>
      <c r="D9" s="18"/>
      <c r="E9" s="18"/>
      <c r="F9" s="18"/>
      <c r="G9" s="19"/>
    </row>
    <row r="10" spans="1:7" ht="15.75" thickBot="1" x14ac:dyDescent="0.3">
      <c r="A10" s="20"/>
      <c r="B10" s="18"/>
      <c r="C10" s="18"/>
      <c r="D10" s="18"/>
      <c r="E10" s="18"/>
      <c r="F10" s="18"/>
      <c r="G10" s="19"/>
    </row>
    <row r="11" spans="1:7" ht="19.5" thickBot="1" x14ac:dyDescent="0.35">
      <c r="A11" s="560" t="s">
        <v>71</v>
      </c>
      <c r="B11" s="561"/>
      <c r="C11" s="561"/>
      <c r="D11" s="561"/>
      <c r="E11" s="562"/>
      <c r="F11" s="18"/>
      <c r="G11" s="19"/>
    </row>
    <row r="12" spans="1:7" ht="30.75" customHeight="1" thickBot="1" x14ac:dyDescent="0.3">
      <c r="A12" s="21" t="s">
        <v>15</v>
      </c>
      <c r="B12" s="17" t="s">
        <v>92</v>
      </c>
      <c r="C12" s="17" t="s">
        <v>75</v>
      </c>
      <c r="D12" s="17" t="s">
        <v>0</v>
      </c>
      <c r="E12" s="17" t="s">
        <v>81</v>
      </c>
      <c r="F12" s="18"/>
      <c r="G12" s="18"/>
    </row>
    <row r="13" spans="1:7" ht="15" customHeight="1" thickBot="1" x14ac:dyDescent="0.3">
      <c r="A13" s="563" t="s">
        <v>35</v>
      </c>
      <c r="B13" s="568" t="s">
        <v>78</v>
      </c>
      <c r="C13" s="4" t="s">
        <v>76</v>
      </c>
      <c r="D13" s="3" t="s">
        <v>115</v>
      </c>
      <c r="E13" s="114">
        <f>'7. Public Financing'!B18</f>
        <v>0</v>
      </c>
      <c r="F13" s="18"/>
      <c r="G13" s="18"/>
    </row>
    <row r="14" spans="1:7" ht="15" customHeight="1" thickBot="1" x14ac:dyDescent="0.3">
      <c r="A14" s="563"/>
      <c r="B14" s="568"/>
      <c r="C14" s="4" t="s">
        <v>77</v>
      </c>
      <c r="D14" s="3" t="s">
        <v>72</v>
      </c>
      <c r="E14" s="114">
        <f>'7. Public Financing'!B26</f>
        <v>0</v>
      </c>
      <c r="F14" s="18"/>
      <c r="G14" s="18"/>
    </row>
    <row r="15" spans="1:7" ht="15" customHeight="1" thickBot="1" x14ac:dyDescent="0.3">
      <c r="A15" s="579" t="s">
        <v>124</v>
      </c>
      <c r="B15" s="580"/>
      <c r="C15" s="580"/>
      <c r="D15" s="581"/>
      <c r="E15" s="121">
        <f>SUM(E13:E14)</f>
        <v>0</v>
      </c>
      <c r="F15" s="18"/>
      <c r="G15" s="18"/>
    </row>
    <row r="16" spans="1:7" ht="54" customHeight="1" thickBot="1" x14ac:dyDescent="0.3">
      <c r="A16" s="20"/>
      <c r="B16" s="18"/>
      <c r="C16" s="18"/>
      <c r="D16" s="18"/>
      <c r="E16" s="18"/>
      <c r="F16" s="18"/>
      <c r="G16" s="18"/>
    </row>
    <row r="17" spans="1:7" ht="19.5" thickBot="1" x14ac:dyDescent="0.35">
      <c r="A17" s="560" t="s">
        <v>73</v>
      </c>
      <c r="B17" s="561"/>
      <c r="C17" s="561"/>
      <c r="D17" s="561"/>
      <c r="E17" s="561"/>
      <c r="F17" s="561"/>
      <c r="G17" s="562"/>
    </row>
    <row r="18" spans="1:7" ht="45.75" thickBot="1" x14ac:dyDescent="0.3">
      <c r="A18" s="21" t="s">
        <v>15</v>
      </c>
      <c r="B18" s="17" t="s">
        <v>92</v>
      </c>
      <c r="C18" s="17" t="s">
        <v>75</v>
      </c>
      <c r="D18" s="17" t="s">
        <v>0</v>
      </c>
      <c r="E18" s="17" t="s">
        <v>79</v>
      </c>
      <c r="F18" s="17" t="s">
        <v>91</v>
      </c>
      <c r="G18" s="22" t="s">
        <v>80</v>
      </c>
    </row>
    <row r="19" spans="1:7" ht="45.75" thickBot="1" x14ac:dyDescent="0.3">
      <c r="A19" s="23" t="s">
        <v>74</v>
      </c>
      <c r="B19" s="6" t="s">
        <v>95</v>
      </c>
      <c r="C19" s="5" t="s">
        <v>82</v>
      </c>
      <c r="D19" s="6" t="s">
        <v>375</v>
      </c>
      <c r="E19" s="54">
        <f>'8. Transport Network Perform.'!B15</f>
        <v>0</v>
      </c>
      <c r="F19" s="54">
        <f>'8. Transport Network Perform.'!G15</f>
        <v>0</v>
      </c>
      <c r="G19" s="100">
        <f>-(F19-E19)</f>
        <v>0</v>
      </c>
    </row>
    <row r="20" spans="1:7" ht="15" customHeight="1" thickBot="1" x14ac:dyDescent="0.3">
      <c r="A20" s="566" t="s">
        <v>9</v>
      </c>
      <c r="B20" s="564" t="s">
        <v>93</v>
      </c>
      <c r="C20" s="12" t="s">
        <v>83</v>
      </c>
      <c r="D20" s="11" t="s">
        <v>121</v>
      </c>
      <c r="E20" s="101">
        <f>'9. Environment'!B14</f>
        <v>0</v>
      </c>
      <c r="F20" s="101">
        <f>'9. Environment'!G14</f>
        <v>0</v>
      </c>
      <c r="G20" s="102">
        <f>-(F20-E20)</f>
        <v>0</v>
      </c>
    </row>
    <row r="21" spans="1:7" ht="15.75" thickBot="1" x14ac:dyDescent="0.3">
      <c r="A21" s="566"/>
      <c r="B21" s="564"/>
      <c r="C21" s="12" t="s">
        <v>84</v>
      </c>
      <c r="D21" s="11" t="s">
        <v>122</v>
      </c>
      <c r="E21" s="101">
        <f>'9. Environment'!B19</f>
        <v>0</v>
      </c>
      <c r="F21" s="101">
        <f>'9. Environment'!G19</f>
        <v>0</v>
      </c>
      <c r="G21" s="102">
        <f>-(F21-E21)</f>
        <v>0</v>
      </c>
    </row>
    <row r="22" spans="1:7" ht="15.75" thickBot="1" x14ac:dyDescent="0.3">
      <c r="A22" s="566"/>
      <c r="B22" s="564"/>
      <c r="C22" s="12" t="s">
        <v>85</v>
      </c>
      <c r="D22" s="11" t="s">
        <v>123</v>
      </c>
      <c r="E22" s="101">
        <f>'9. Environment'!B26</f>
        <v>0</v>
      </c>
      <c r="F22" s="101">
        <f>'9. Environment'!G26</f>
        <v>0</v>
      </c>
      <c r="G22" s="102">
        <f>-(F22-E22)</f>
        <v>0</v>
      </c>
    </row>
    <row r="23" spans="1:7" ht="15.75" thickBot="1" x14ac:dyDescent="0.3">
      <c r="A23" s="567" t="s">
        <v>94</v>
      </c>
      <c r="B23" s="565" t="s">
        <v>11</v>
      </c>
      <c r="C23" s="8" t="s">
        <v>86</v>
      </c>
      <c r="D23" s="16" t="s">
        <v>116</v>
      </c>
      <c r="E23" s="40">
        <f>'10. Society'!B6</f>
        <v>0</v>
      </c>
      <c r="F23" s="40">
        <f>'10. Society'!G6</f>
        <v>0</v>
      </c>
      <c r="G23" s="103">
        <f t="shared" ref="G23:G26" si="0">-(F23-E23)</f>
        <v>0</v>
      </c>
    </row>
    <row r="24" spans="1:7" ht="30.75" thickBot="1" x14ac:dyDescent="0.3">
      <c r="A24" s="567"/>
      <c r="B24" s="565"/>
      <c r="C24" s="8" t="s">
        <v>87</v>
      </c>
      <c r="D24" s="16" t="s">
        <v>117</v>
      </c>
      <c r="E24" s="40">
        <f>'10. Society'!B12</f>
        <v>0</v>
      </c>
      <c r="F24" s="40">
        <f>'10. Society'!G12</f>
        <v>0</v>
      </c>
      <c r="G24" s="103">
        <f t="shared" si="0"/>
        <v>0</v>
      </c>
    </row>
    <row r="25" spans="1:7" ht="30.75" thickBot="1" x14ac:dyDescent="0.3">
      <c r="A25" s="567"/>
      <c r="B25" s="16" t="s">
        <v>24</v>
      </c>
      <c r="C25" s="8" t="s">
        <v>88</v>
      </c>
      <c r="D25" s="16" t="s">
        <v>118</v>
      </c>
      <c r="E25" s="502">
        <f>'10. Society'!B19+'10. Society'!D19</f>
        <v>0</v>
      </c>
      <c r="F25" s="503"/>
      <c r="G25" s="40">
        <f>E25</f>
        <v>0</v>
      </c>
    </row>
    <row r="26" spans="1:7" ht="15.75" thickBot="1" x14ac:dyDescent="0.3">
      <c r="A26" s="582" t="s">
        <v>119</v>
      </c>
      <c r="B26" s="15" t="s">
        <v>27</v>
      </c>
      <c r="C26" s="10" t="s">
        <v>89</v>
      </c>
      <c r="D26" s="15" t="s">
        <v>120</v>
      </c>
      <c r="E26" s="104">
        <f>'11. Private Business'!B16</f>
        <v>0</v>
      </c>
      <c r="F26" s="104">
        <f>'11. Private Business'!N16</f>
        <v>0</v>
      </c>
      <c r="G26" s="105">
        <f t="shared" si="0"/>
        <v>0</v>
      </c>
    </row>
    <row r="27" spans="1:7" ht="15.75" thickBot="1" x14ac:dyDescent="0.3">
      <c r="A27" s="582"/>
      <c r="B27" s="37" t="s">
        <v>22</v>
      </c>
      <c r="C27" s="10" t="s">
        <v>90</v>
      </c>
      <c r="D27" s="37" t="s">
        <v>149</v>
      </c>
      <c r="E27" s="104">
        <f>'11. Private Business'!B23</f>
        <v>0</v>
      </c>
      <c r="F27" s="104">
        <f>'11. Private Business'!N23</f>
        <v>0</v>
      </c>
      <c r="G27" s="105">
        <f>-(F27-E27)</f>
        <v>0</v>
      </c>
    </row>
    <row r="28" spans="1:7" ht="15.75" customHeight="1" thickBot="1" x14ac:dyDescent="0.3">
      <c r="A28" s="576" t="s">
        <v>96</v>
      </c>
      <c r="B28" s="577"/>
      <c r="C28" s="577"/>
      <c r="D28" s="577"/>
      <c r="E28" s="577"/>
      <c r="F28" s="578"/>
      <c r="G28" s="120">
        <f>SUM(G19:G27)</f>
        <v>0</v>
      </c>
    </row>
    <row r="29" spans="1:7" s="25" customFormat="1" x14ac:dyDescent="0.25"/>
    <row r="30" spans="1:7" s="25" customFormat="1" x14ac:dyDescent="0.25"/>
    <row r="31" spans="1:7" s="25" customFormat="1" x14ac:dyDescent="0.25"/>
    <row r="32" spans="1:7" s="25" customFormat="1" x14ac:dyDescent="0.25"/>
    <row r="33" s="25" customFormat="1" x14ac:dyDescent="0.25"/>
    <row r="34" s="25" customFormat="1" x14ac:dyDescent="0.25"/>
    <row r="35" s="25" customFormat="1" x14ac:dyDescent="0.25"/>
    <row r="36" s="25" customFormat="1" x14ac:dyDescent="0.25"/>
    <row r="37" s="25" customFormat="1" x14ac:dyDescent="0.25"/>
    <row r="38" s="25" customFormat="1" x14ac:dyDescent="0.25"/>
    <row r="39" s="25" customFormat="1" x14ac:dyDescent="0.25"/>
    <row r="40" s="25" customFormat="1" x14ac:dyDescent="0.25"/>
    <row r="41" s="25" customFormat="1" x14ac:dyDescent="0.25"/>
    <row r="42" s="25" customFormat="1" x14ac:dyDescent="0.25"/>
    <row r="43" s="25" customFormat="1" x14ac:dyDescent="0.25"/>
    <row r="44" s="25" customFormat="1" x14ac:dyDescent="0.25"/>
    <row r="45" s="25" customFormat="1" x14ac:dyDescent="0.25"/>
    <row r="46" s="25" customFormat="1" x14ac:dyDescent="0.25"/>
    <row r="47" s="25" customFormat="1" x14ac:dyDescent="0.25"/>
    <row r="48" s="25" customFormat="1" x14ac:dyDescent="0.25"/>
    <row r="49" s="25" customFormat="1" x14ac:dyDescent="0.25"/>
    <row r="50" s="25" customFormat="1" x14ac:dyDescent="0.25"/>
    <row r="51" s="25" customFormat="1" x14ac:dyDescent="0.25"/>
    <row r="52" s="25" customFormat="1" x14ac:dyDescent="0.25"/>
    <row r="53" s="25" customFormat="1" x14ac:dyDescent="0.25"/>
    <row r="54" s="25" customFormat="1" x14ac:dyDescent="0.25"/>
    <row r="55" s="25" customFormat="1" x14ac:dyDescent="0.25"/>
    <row r="56" s="25" customFormat="1" x14ac:dyDescent="0.25"/>
    <row r="57" s="25" customFormat="1" x14ac:dyDescent="0.25"/>
    <row r="58" s="25" customFormat="1" x14ac:dyDescent="0.25"/>
    <row r="59" s="25" customFormat="1" x14ac:dyDescent="0.25"/>
    <row r="60" s="25" customFormat="1" x14ac:dyDescent="0.25"/>
    <row r="61" s="25" customFormat="1" x14ac:dyDescent="0.25"/>
    <row r="62" s="25" customFormat="1" x14ac:dyDescent="0.25"/>
    <row r="63" s="25" customFormat="1" x14ac:dyDescent="0.25"/>
    <row r="64" s="25" customFormat="1" x14ac:dyDescent="0.25"/>
    <row r="65" s="25" customFormat="1" x14ac:dyDescent="0.25"/>
    <row r="66" s="25" customFormat="1" x14ac:dyDescent="0.25"/>
    <row r="67" s="25" customFormat="1" x14ac:dyDescent="0.25"/>
    <row r="68" s="25" customFormat="1" x14ac:dyDescent="0.25"/>
    <row r="69" s="25" customFormat="1" x14ac:dyDescent="0.25"/>
    <row r="70" s="25" customFormat="1" x14ac:dyDescent="0.25"/>
    <row r="71" s="25" customFormat="1" x14ac:dyDescent="0.25"/>
    <row r="72" s="25" customFormat="1" x14ac:dyDescent="0.25"/>
    <row r="73" s="25" customFormat="1" x14ac:dyDescent="0.25"/>
    <row r="74" s="25" customFormat="1" x14ac:dyDescent="0.25"/>
    <row r="75" s="25" customFormat="1" x14ac:dyDescent="0.25"/>
    <row r="76" s="25" customFormat="1" x14ac:dyDescent="0.25"/>
    <row r="77" s="25" customFormat="1" x14ac:dyDescent="0.25"/>
    <row r="78" s="25" customFormat="1" x14ac:dyDescent="0.25"/>
    <row r="79" s="25" customFormat="1" x14ac:dyDescent="0.25"/>
    <row r="80" s="25" customFormat="1" x14ac:dyDescent="0.25"/>
    <row r="81" s="25" customFormat="1" x14ac:dyDescent="0.25"/>
    <row r="82" s="25" customFormat="1" x14ac:dyDescent="0.25"/>
    <row r="83" s="25" customFormat="1" x14ac:dyDescent="0.25"/>
    <row r="84" s="25" customFormat="1" x14ac:dyDescent="0.25"/>
    <row r="85" s="25" customFormat="1" x14ac:dyDescent="0.25"/>
    <row r="86" s="25" customFormat="1" x14ac:dyDescent="0.25"/>
    <row r="87" s="25" customFormat="1" x14ac:dyDescent="0.25"/>
    <row r="88" s="25" customFormat="1" x14ac:dyDescent="0.25"/>
    <row r="89" s="25" customFormat="1" x14ac:dyDescent="0.25"/>
    <row r="90" s="25" customFormat="1" x14ac:dyDescent="0.25"/>
    <row r="91" s="25" customFormat="1" x14ac:dyDescent="0.25"/>
    <row r="92" s="25" customFormat="1" x14ac:dyDescent="0.25"/>
    <row r="93" s="25" customFormat="1" x14ac:dyDescent="0.25"/>
    <row r="94" s="25" customFormat="1" x14ac:dyDescent="0.25"/>
    <row r="95" s="25" customFormat="1" x14ac:dyDescent="0.25"/>
    <row r="96" s="25" customFormat="1" x14ac:dyDescent="0.25"/>
    <row r="97" s="25" customFormat="1" x14ac:dyDescent="0.25"/>
    <row r="98" s="25" customFormat="1" x14ac:dyDescent="0.25"/>
    <row r="99" s="25" customFormat="1" x14ac:dyDescent="0.25"/>
    <row r="100" s="25" customFormat="1" x14ac:dyDescent="0.25"/>
    <row r="101" s="25" customFormat="1" x14ac:dyDescent="0.25"/>
    <row r="102" s="25" customFormat="1" x14ac:dyDescent="0.25"/>
    <row r="103" s="25" customFormat="1" x14ac:dyDescent="0.25"/>
    <row r="104" s="25" customFormat="1" x14ac:dyDescent="0.25"/>
    <row r="105" s="25" customFormat="1" x14ac:dyDescent="0.25"/>
    <row r="106" s="25" customFormat="1" x14ac:dyDescent="0.25"/>
    <row r="107" s="25" customFormat="1" x14ac:dyDescent="0.25"/>
    <row r="108" s="25" customFormat="1" x14ac:dyDescent="0.25"/>
    <row r="109" s="25" customFormat="1" x14ac:dyDescent="0.25"/>
    <row r="110" s="25" customFormat="1" x14ac:dyDescent="0.25"/>
    <row r="111" s="25" customFormat="1" x14ac:dyDescent="0.25"/>
    <row r="112" s="25" customFormat="1" x14ac:dyDescent="0.25"/>
    <row r="113" s="25" customFormat="1" x14ac:dyDescent="0.25"/>
    <row r="114" s="25" customFormat="1" x14ac:dyDescent="0.25"/>
    <row r="115" s="25" customFormat="1" x14ac:dyDescent="0.25"/>
    <row r="116" s="25" customFormat="1" x14ac:dyDescent="0.25"/>
    <row r="117" s="25" customFormat="1" x14ac:dyDescent="0.25"/>
    <row r="118" s="25" customFormat="1" x14ac:dyDescent="0.25"/>
    <row r="119" s="25" customFormat="1" x14ac:dyDescent="0.25"/>
    <row r="120" s="25" customFormat="1" x14ac:dyDescent="0.25"/>
    <row r="121" s="25" customFormat="1" x14ac:dyDescent="0.25"/>
    <row r="122" s="25" customFormat="1" x14ac:dyDescent="0.25"/>
    <row r="123" s="25" customFormat="1" x14ac:dyDescent="0.25"/>
    <row r="124" s="25" customFormat="1" x14ac:dyDescent="0.25"/>
    <row r="125" s="25" customFormat="1" x14ac:dyDescent="0.25"/>
    <row r="126" s="25" customFormat="1" x14ac:dyDescent="0.25"/>
    <row r="127" s="25" customFormat="1" x14ac:dyDescent="0.25"/>
    <row r="128" s="25" customFormat="1" x14ac:dyDescent="0.25"/>
    <row r="129" s="25" customFormat="1" x14ac:dyDescent="0.25"/>
    <row r="130" s="25" customFormat="1" x14ac:dyDescent="0.25"/>
    <row r="131" s="25" customFormat="1" x14ac:dyDescent="0.25"/>
    <row r="132" s="25" customFormat="1" x14ac:dyDescent="0.25"/>
    <row r="133" s="25" customFormat="1" x14ac:dyDescent="0.25"/>
    <row r="134" s="25" customFormat="1" x14ac:dyDescent="0.25"/>
    <row r="135" s="25" customFormat="1" x14ac:dyDescent="0.25"/>
    <row r="136" s="25" customFormat="1" x14ac:dyDescent="0.25"/>
    <row r="137" s="25" customFormat="1" x14ac:dyDescent="0.25"/>
    <row r="138" s="25" customFormat="1" x14ac:dyDescent="0.25"/>
    <row r="139" s="25" customFormat="1" x14ac:dyDescent="0.25"/>
    <row r="140" s="25" customFormat="1" x14ac:dyDescent="0.25"/>
    <row r="141" s="25" customFormat="1" x14ac:dyDescent="0.25"/>
    <row r="142" s="25" customFormat="1" x14ac:dyDescent="0.25"/>
    <row r="143" s="25" customFormat="1" x14ac:dyDescent="0.25"/>
    <row r="144" s="25" customFormat="1" x14ac:dyDescent="0.25"/>
    <row r="145" s="25" customFormat="1" x14ac:dyDescent="0.25"/>
    <row r="146" s="25" customFormat="1" x14ac:dyDescent="0.25"/>
    <row r="147" s="25" customFormat="1" x14ac:dyDescent="0.25"/>
    <row r="148" s="25" customFormat="1" x14ac:dyDescent="0.25"/>
    <row r="149" s="25" customFormat="1" x14ac:dyDescent="0.25"/>
    <row r="150" s="25" customFormat="1" x14ac:dyDescent="0.25"/>
    <row r="151" s="25" customFormat="1" x14ac:dyDescent="0.25"/>
    <row r="152" s="25" customFormat="1" x14ac:dyDescent="0.25"/>
    <row r="153" s="25" customFormat="1" x14ac:dyDescent="0.25"/>
    <row r="154" s="25" customFormat="1" x14ac:dyDescent="0.25"/>
    <row r="155" s="25" customFormat="1" x14ac:dyDescent="0.25"/>
  </sheetData>
  <sheetProtection algorithmName="SHA-512" hashValue="8+zipRm0WEwwS0GOCpzY+IxTJF+MxBBcYjHizKV8iChLBHJLrJPIAc/nKLLXrYCw1wXZ3+PSASEZEWx4yTjWng==" saltValue="tEQ0/q+ZPHFerHP7QfcS9A==" spinCount="100000" sheet="1" selectLockedCells="1"/>
  <mergeCells count="17">
    <mergeCell ref="A28:F28"/>
    <mergeCell ref="A17:G17"/>
    <mergeCell ref="A15:D15"/>
    <mergeCell ref="A26:A27"/>
    <mergeCell ref="A1:G1"/>
    <mergeCell ref="A5:B5"/>
    <mergeCell ref="A6:B6"/>
    <mergeCell ref="A4:C4"/>
    <mergeCell ref="A3:C3"/>
    <mergeCell ref="A11:E11"/>
    <mergeCell ref="A13:A14"/>
    <mergeCell ref="B20:B22"/>
    <mergeCell ref="B23:B24"/>
    <mergeCell ref="A20:A22"/>
    <mergeCell ref="A23:A25"/>
    <mergeCell ref="B13:B14"/>
    <mergeCell ref="E25:F25"/>
  </mergeCells>
  <pageMargins left="0.7" right="0.7" top="0.75" bottom="0.75" header="0.3" footer="0.3"/>
  <pageSetup paperSize="8" scale="50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7">
    <tabColor rgb="FFBCCF2F"/>
  </sheetPr>
  <dimension ref="A1:T58"/>
  <sheetViews>
    <sheetView zoomScaleNormal="100" workbookViewId="0">
      <selection activeCell="I5" sqref="I5"/>
    </sheetView>
  </sheetViews>
  <sheetFormatPr baseColWidth="10" defaultColWidth="11.42578125" defaultRowHeight="15" x14ac:dyDescent="0.25"/>
  <cols>
    <col min="1" max="1" width="12.5703125" bestFit="1" customWidth="1"/>
    <col min="2" max="2" width="15.42578125" customWidth="1"/>
    <col min="3" max="3" width="8.42578125" bestFit="1" customWidth="1"/>
    <col min="4" max="4" width="35.140625" customWidth="1"/>
    <col min="5" max="5" width="46.5703125" hidden="1" customWidth="1"/>
    <col min="6" max="6" width="18.42578125" customWidth="1"/>
    <col min="7" max="7" width="10.28515625" customWidth="1"/>
    <col min="8" max="8" width="10.42578125" customWidth="1"/>
    <col min="10" max="10" width="14.42578125" customWidth="1"/>
    <col min="11" max="20" width="11.42578125" style="25"/>
  </cols>
  <sheetData>
    <row r="1" spans="1:10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</row>
    <row r="2" spans="1:10" ht="30.6" customHeight="1" x14ac:dyDescent="0.25">
      <c r="A2" s="583" t="s">
        <v>104</v>
      </c>
      <c r="B2" s="584"/>
      <c r="C2" s="584"/>
      <c r="D2" s="584"/>
      <c r="E2" s="584"/>
      <c r="F2" s="584"/>
      <c r="G2" s="584"/>
      <c r="H2" s="584"/>
      <c r="I2" s="584"/>
      <c r="J2" s="584"/>
    </row>
    <row r="3" spans="1:10" ht="16.5" thickBot="1" x14ac:dyDescent="0.3">
      <c r="A3" s="585"/>
      <c r="B3" s="586"/>
      <c r="C3" s="586"/>
      <c r="D3" s="586"/>
      <c r="E3" s="586"/>
      <c r="F3" s="586"/>
      <c r="G3" s="586"/>
      <c r="H3" s="586"/>
      <c r="I3" s="586"/>
      <c r="J3" s="586"/>
    </row>
    <row r="4" spans="1:10" ht="45.75" thickBot="1" x14ac:dyDescent="0.3">
      <c r="A4" s="79" t="s">
        <v>126</v>
      </c>
      <c r="B4" s="79" t="s">
        <v>92</v>
      </c>
      <c r="C4" s="79" t="s">
        <v>75</v>
      </c>
      <c r="D4" s="79" t="s">
        <v>0</v>
      </c>
      <c r="E4" s="79" t="s">
        <v>260</v>
      </c>
      <c r="F4" s="79" t="s">
        <v>17</v>
      </c>
      <c r="G4" s="590" t="s">
        <v>125</v>
      </c>
      <c r="H4" s="591"/>
      <c r="I4" s="79" t="s">
        <v>99</v>
      </c>
      <c r="J4" s="79" t="s">
        <v>143</v>
      </c>
    </row>
    <row r="5" spans="1:10" ht="30.75" thickBot="1" x14ac:dyDescent="0.3">
      <c r="A5" s="596" t="s">
        <v>20</v>
      </c>
      <c r="B5" s="33" t="s">
        <v>6</v>
      </c>
      <c r="C5" s="34" t="s">
        <v>327</v>
      </c>
      <c r="D5" s="33" t="s">
        <v>102</v>
      </c>
      <c r="E5" s="92"/>
      <c r="F5" s="33" t="s">
        <v>100</v>
      </c>
      <c r="G5" s="592"/>
      <c r="H5" s="593"/>
      <c r="I5" s="263"/>
      <c r="J5" s="264">
        <f>G5*I5</f>
        <v>0</v>
      </c>
    </row>
    <row r="6" spans="1:10" ht="30.75" thickBot="1" x14ac:dyDescent="0.3">
      <c r="A6" s="597"/>
      <c r="B6" s="33" t="s">
        <v>279</v>
      </c>
      <c r="C6" s="34" t="s">
        <v>328</v>
      </c>
      <c r="D6" s="33" t="s">
        <v>483</v>
      </c>
      <c r="E6" s="92"/>
      <c r="F6" s="33" t="s">
        <v>478</v>
      </c>
      <c r="G6" s="592"/>
      <c r="H6" s="593"/>
      <c r="I6" s="263"/>
      <c r="J6" s="264">
        <f>G6*I6</f>
        <v>0</v>
      </c>
    </row>
    <row r="7" spans="1:10" ht="45.75" thickBot="1" x14ac:dyDescent="0.3">
      <c r="A7" s="588" t="s">
        <v>23</v>
      </c>
      <c r="B7" s="76" t="s">
        <v>25</v>
      </c>
      <c r="C7" s="35" t="s">
        <v>329</v>
      </c>
      <c r="D7" s="36" t="s">
        <v>480</v>
      </c>
      <c r="E7" s="93"/>
      <c r="F7" s="36" t="s">
        <v>100</v>
      </c>
      <c r="G7" s="594"/>
      <c r="H7" s="595"/>
      <c r="I7" s="265"/>
      <c r="J7" s="266">
        <f>G7*I7</f>
        <v>0</v>
      </c>
    </row>
    <row r="8" spans="1:10" ht="30.75" thickBot="1" x14ac:dyDescent="0.3">
      <c r="A8" s="589"/>
      <c r="B8" s="36" t="s">
        <v>26</v>
      </c>
      <c r="C8" s="35" t="s">
        <v>477</v>
      </c>
      <c r="D8" s="76" t="s">
        <v>337</v>
      </c>
      <c r="E8" s="94"/>
      <c r="F8" s="76" t="s">
        <v>100</v>
      </c>
      <c r="G8" s="594"/>
      <c r="H8" s="595"/>
      <c r="I8" s="265"/>
      <c r="J8" s="266">
        <f>G8*I8</f>
        <v>0</v>
      </c>
    </row>
    <row r="9" spans="1:10" ht="30.75" thickBot="1" x14ac:dyDescent="0.3">
      <c r="A9" s="273" t="s">
        <v>32</v>
      </c>
      <c r="B9" s="274" t="s">
        <v>28</v>
      </c>
      <c r="C9" s="275" t="s">
        <v>479</v>
      </c>
      <c r="D9" s="268" t="s">
        <v>482</v>
      </c>
      <c r="E9" s="267"/>
      <c r="F9" s="268" t="s">
        <v>100</v>
      </c>
      <c r="G9" s="598"/>
      <c r="H9" s="599"/>
      <c r="I9" s="269"/>
      <c r="J9" s="270">
        <f t="shared" ref="J9" si="0">G9*I9</f>
        <v>0</v>
      </c>
    </row>
    <row r="10" spans="1:10" x14ac:dyDescent="0.25">
      <c r="A10" s="29"/>
      <c r="B10" s="25"/>
      <c r="C10" s="25"/>
      <c r="D10" s="25"/>
      <c r="E10" s="25"/>
      <c r="F10" s="25"/>
      <c r="G10" s="25"/>
      <c r="H10" s="25"/>
      <c r="I10" s="25"/>
      <c r="J10" s="25"/>
    </row>
    <row r="11" spans="1:10" x14ac:dyDescent="0.25">
      <c r="A11" s="587" t="s">
        <v>103</v>
      </c>
      <c r="B11" s="587"/>
      <c r="C11" s="587"/>
      <c r="D11" s="25"/>
      <c r="E11" s="25"/>
      <c r="F11" s="25"/>
      <c r="G11" s="25"/>
      <c r="H11" s="25"/>
      <c r="I11" s="25"/>
      <c r="J11" s="25"/>
    </row>
    <row r="12" spans="1:10" ht="15.75" x14ac:dyDescent="0.25">
      <c r="A12" s="31">
        <v>2</v>
      </c>
      <c r="B12" s="32" t="s">
        <v>105</v>
      </c>
      <c r="C12" s="32"/>
      <c r="D12" s="25"/>
      <c r="E12" s="25"/>
      <c r="F12" s="25"/>
      <c r="G12" s="25"/>
      <c r="H12" s="25"/>
      <c r="I12" s="25"/>
      <c r="J12" s="25"/>
    </row>
    <row r="13" spans="1:10" ht="15.75" x14ac:dyDescent="0.25">
      <c r="A13" s="31">
        <v>1</v>
      </c>
      <c r="B13" s="32" t="s">
        <v>106</v>
      </c>
      <c r="C13" s="32"/>
      <c r="D13" s="25"/>
      <c r="E13" s="25"/>
      <c r="F13" s="25"/>
      <c r="G13" s="25"/>
      <c r="H13" s="25"/>
      <c r="I13" s="25"/>
      <c r="J13" s="25"/>
    </row>
    <row r="14" spans="1:10" ht="15.75" x14ac:dyDescent="0.25">
      <c r="A14" s="31">
        <v>0</v>
      </c>
      <c r="B14" s="32" t="s">
        <v>108</v>
      </c>
      <c r="C14" s="32"/>
      <c r="D14" s="25"/>
      <c r="E14" s="25"/>
      <c r="F14" s="25"/>
      <c r="G14" s="25"/>
      <c r="H14" s="25"/>
      <c r="I14" s="25"/>
      <c r="J14" s="25"/>
    </row>
    <row r="15" spans="1:10" ht="15.75" x14ac:dyDescent="0.25">
      <c r="A15" s="31">
        <v>-1</v>
      </c>
      <c r="B15" s="32" t="s">
        <v>107</v>
      </c>
      <c r="C15" s="32"/>
      <c r="D15" s="25"/>
      <c r="E15" s="25"/>
      <c r="F15" s="25"/>
      <c r="G15" s="25"/>
      <c r="H15" s="25"/>
      <c r="I15" s="25"/>
      <c r="J15" s="25"/>
    </row>
    <row r="16" spans="1:10" ht="15.75" x14ac:dyDescent="0.25">
      <c r="A16" s="31">
        <v>-2</v>
      </c>
      <c r="B16" s="32" t="s">
        <v>109</v>
      </c>
      <c r="C16" s="32"/>
      <c r="D16" s="25"/>
      <c r="E16" s="25"/>
      <c r="F16" s="25"/>
      <c r="G16" s="25"/>
      <c r="H16" s="25"/>
      <c r="I16" s="25"/>
      <c r="J16" s="25"/>
    </row>
    <row r="17" s="25" customFormat="1" x14ac:dyDescent="0.25"/>
    <row r="18" s="25" customFormat="1" x14ac:dyDescent="0.25"/>
    <row r="19" s="25" customFormat="1" x14ac:dyDescent="0.25"/>
    <row r="20" s="25" customFormat="1" x14ac:dyDescent="0.25"/>
    <row r="21" s="25" customFormat="1" x14ac:dyDescent="0.25"/>
    <row r="22" s="25" customFormat="1" x14ac:dyDescent="0.25"/>
    <row r="23" s="25" customFormat="1" x14ac:dyDescent="0.25"/>
    <row r="24" s="25" customFormat="1" x14ac:dyDescent="0.25"/>
    <row r="25" s="25" customFormat="1" x14ac:dyDescent="0.25"/>
    <row r="26" s="25" customFormat="1" x14ac:dyDescent="0.25"/>
    <row r="27" s="25" customFormat="1" x14ac:dyDescent="0.25"/>
    <row r="28" s="25" customFormat="1" x14ac:dyDescent="0.25"/>
    <row r="29" s="25" customFormat="1" x14ac:dyDescent="0.25"/>
    <row r="30" s="25" customFormat="1" x14ac:dyDescent="0.25"/>
    <row r="31" s="25" customFormat="1" x14ac:dyDescent="0.25"/>
    <row r="32" s="25" customFormat="1" x14ac:dyDescent="0.25"/>
    <row r="33" s="25" customFormat="1" x14ac:dyDescent="0.25"/>
    <row r="34" s="25" customFormat="1" x14ac:dyDescent="0.25"/>
    <row r="35" s="25" customFormat="1" x14ac:dyDescent="0.25"/>
    <row r="36" s="25" customFormat="1" x14ac:dyDescent="0.25"/>
    <row r="37" s="25" customFormat="1" x14ac:dyDescent="0.25"/>
    <row r="38" s="25" customFormat="1" x14ac:dyDescent="0.25"/>
    <row r="39" s="25" customFormat="1" x14ac:dyDescent="0.25"/>
    <row r="40" s="25" customFormat="1" x14ac:dyDescent="0.25"/>
    <row r="41" s="25" customFormat="1" x14ac:dyDescent="0.25"/>
    <row r="42" s="25" customFormat="1" x14ac:dyDescent="0.25"/>
    <row r="43" s="25" customFormat="1" x14ac:dyDescent="0.25"/>
    <row r="44" s="25" customFormat="1" x14ac:dyDescent="0.25"/>
    <row r="45" s="25" customFormat="1" x14ac:dyDescent="0.25"/>
    <row r="46" s="25" customFormat="1" x14ac:dyDescent="0.25"/>
    <row r="47" s="25" customFormat="1" x14ac:dyDescent="0.25"/>
    <row r="48" s="25" customFormat="1" x14ac:dyDescent="0.25"/>
    <row r="49" s="25" customFormat="1" x14ac:dyDescent="0.25"/>
    <row r="50" s="25" customFormat="1" x14ac:dyDescent="0.25"/>
    <row r="51" s="25" customFormat="1" x14ac:dyDescent="0.25"/>
    <row r="52" s="25" customFormat="1" x14ac:dyDescent="0.25"/>
    <row r="53" s="25" customFormat="1" x14ac:dyDescent="0.25"/>
    <row r="54" s="25" customFormat="1" x14ac:dyDescent="0.25"/>
    <row r="55" s="25" customFormat="1" x14ac:dyDescent="0.25"/>
    <row r="56" s="25" customFormat="1" x14ac:dyDescent="0.25"/>
    <row r="57" s="25" customFormat="1" x14ac:dyDescent="0.25"/>
    <row r="58" s="25" customFormat="1" x14ac:dyDescent="0.25"/>
  </sheetData>
  <sheetProtection algorithmName="SHA-512" hashValue="rSTWh1ZF0HP7bGz7W8oDxfectSsp2MsbufMtSDXkWMD+Qm9cI21HQ91jLNDUgHdyXI0wy/dGsWdZflJapzku/Q==" saltValue="eSg0/epwRuvxnpWonCoecw==" spinCount="100000" sheet="1" selectLockedCells="1"/>
  <mergeCells count="11">
    <mergeCell ref="A2:J2"/>
    <mergeCell ref="A3:J3"/>
    <mergeCell ref="A11:C11"/>
    <mergeCell ref="A7:A8"/>
    <mergeCell ref="G4:H4"/>
    <mergeCell ref="G5:H5"/>
    <mergeCell ref="G7:H7"/>
    <mergeCell ref="G8:H8"/>
    <mergeCell ref="A5:A6"/>
    <mergeCell ref="G9:H9"/>
    <mergeCell ref="G6:H6"/>
  </mergeCells>
  <pageMargins left="0.7" right="0.7" top="0.78740157499999996" bottom="0.78740157499999996" header="0.3" footer="0.3"/>
  <pageSetup paperSize="9" scale="47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4">
    <tabColor rgb="FF4A8E93"/>
  </sheetPr>
  <dimension ref="A1:AW408"/>
  <sheetViews>
    <sheetView zoomScale="60" zoomScaleNormal="60" workbookViewId="0">
      <selection activeCell="B16" sqref="B16"/>
    </sheetView>
  </sheetViews>
  <sheetFormatPr baseColWidth="10" defaultColWidth="11.42578125" defaultRowHeight="15" x14ac:dyDescent="0.25"/>
  <cols>
    <col min="1" max="1" width="31.42578125" style="81" customWidth="1"/>
    <col min="2" max="2" width="13.42578125" style="81" customWidth="1"/>
    <col min="3" max="3" width="38.140625" style="81" customWidth="1"/>
    <col min="4" max="4" width="20.140625" style="81" customWidth="1"/>
    <col min="5" max="5" width="22.42578125" style="81" customWidth="1"/>
    <col min="6" max="6" width="43.42578125" style="81" customWidth="1"/>
    <col min="7" max="49" width="11.42578125" style="82"/>
    <col min="50" max="16384" width="11.42578125" style="81"/>
  </cols>
  <sheetData>
    <row r="1" spans="1:6" ht="24" thickBot="1" x14ac:dyDescent="0.4">
      <c r="A1" s="345" t="s">
        <v>128</v>
      </c>
      <c r="B1" s="346"/>
      <c r="C1" s="346"/>
      <c r="D1" s="346"/>
      <c r="E1" s="346"/>
      <c r="F1" s="346"/>
    </row>
    <row r="2" spans="1:6" x14ac:dyDescent="0.25">
      <c r="A2" s="82"/>
      <c r="B2" s="82"/>
      <c r="C2" s="82"/>
      <c r="D2" s="82"/>
      <c r="E2" s="82"/>
      <c r="F2" s="82"/>
    </row>
    <row r="3" spans="1:6" x14ac:dyDescent="0.25">
      <c r="A3" s="82"/>
      <c r="B3" s="82"/>
      <c r="C3" s="82"/>
      <c r="D3" s="82"/>
      <c r="E3" s="82"/>
      <c r="F3" s="82"/>
    </row>
    <row r="4" spans="1:6" x14ac:dyDescent="0.25">
      <c r="A4" s="82"/>
      <c r="B4" s="82"/>
      <c r="C4" s="82"/>
      <c r="D4" s="82"/>
      <c r="E4" s="82"/>
      <c r="F4" s="82"/>
    </row>
    <row r="5" spans="1:6" x14ac:dyDescent="0.25">
      <c r="A5" s="82"/>
      <c r="B5" s="82"/>
      <c r="C5" s="82"/>
      <c r="D5" s="82"/>
      <c r="E5" s="82"/>
      <c r="F5" s="82"/>
    </row>
    <row r="6" spans="1:6" x14ac:dyDescent="0.25">
      <c r="A6" s="82"/>
      <c r="B6" s="82"/>
      <c r="C6" s="82"/>
      <c r="D6" s="82"/>
      <c r="E6" s="82"/>
      <c r="F6" s="82"/>
    </row>
    <row r="7" spans="1:6" x14ac:dyDescent="0.25">
      <c r="A7" s="82"/>
      <c r="B7" s="82"/>
      <c r="C7" s="82"/>
      <c r="D7" s="82"/>
      <c r="E7" s="82"/>
      <c r="F7" s="82"/>
    </row>
    <row r="8" spans="1:6" x14ac:dyDescent="0.25">
      <c r="A8" s="82"/>
      <c r="B8" s="82"/>
      <c r="C8" s="82"/>
      <c r="D8" s="82"/>
      <c r="E8" s="82"/>
      <c r="F8" s="82"/>
    </row>
    <row r="9" spans="1:6" ht="11.25" customHeight="1" x14ac:dyDescent="0.25">
      <c r="A9" s="82"/>
      <c r="B9" s="82"/>
      <c r="C9" s="82"/>
      <c r="D9" s="82"/>
      <c r="E9" s="82"/>
      <c r="F9" s="82"/>
    </row>
    <row r="10" spans="1:6" ht="15.75" thickBot="1" x14ac:dyDescent="0.3">
      <c r="A10" s="82"/>
      <c r="B10" s="82"/>
      <c r="C10" s="82"/>
      <c r="D10" s="82"/>
      <c r="E10" s="82"/>
      <c r="F10" s="82"/>
    </row>
    <row r="11" spans="1:6" ht="16.5" thickBot="1" x14ac:dyDescent="0.3">
      <c r="A11" s="611" t="s">
        <v>2</v>
      </c>
      <c r="B11" s="611"/>
      <c r="C11" s="611"/>
      <c r="D11" s="82"/>
      <c r="E11" s="609" t="s">
        <v>3</v>
      </c>
      <c r="F11" s="610"/>
    </row>
    <row r="12" spans="1:6" ht="24" customHeight="1" thickBot="1" x14ac:dyDescent="0.3">
      <c r="A12" s="211" t="s">
        <v>129</v>
      </c>
      <c r="B12" s="612">
        <f>'3. General project description'!B12</f>
        <v>0</v>
      </c>
      <c r="C12" s="612"/>
      <c r="D12" s="82"/>
      <c r="E12" s="213" t="s">
        <v>4</v>
      </c>
      <c r="F12" s="333">
        <f>'3. General project description'!F12</f>
        <v>0</v>
      </c>
    </row>
    <row r="13" spans="1:6" ht="24" customHeight="1" thickBot="1" x14ac:dyDescent="0.3">
      <c r="A13" s="212" t="s">
        <v>132</v>
      </c>
      <c r="B13" s="612">
        <f>'3. General project description'!B13</f>
        <v>0</v>
      </c>
      <c r="C13" s="612"/>
      <c r="D13" s="82"/>
      <c r="E13" s="213" t="s">
        <v>114</v>
      </c>
      <c r="F13" s="334">
        <f>'3. General project description'!F13</f>
        <v>0</v>
      </c>
    </row>
    <row r="14" spans="1:6" ht="57" customHeight="1" thickBot="1" x14ac:dyDescent="0.3">
      <c r="A14" s="211" t="s">
        <v>130</v>
      </c>
      <c r="B14" s="613">
        <f>'3. General project description'!B14</f>
        <v>0</v>
      </c>
      <c r="C14" s="614"/>
      <c r="D14" s="82"/>
      <c r="E14" s="213" t="s">
        <v>135</v>
      </c>
      <c r="F14" s="335">
        <f>'3. General project description'!F14</f>
        <v>0</v>
      </c>
    </row>
    <row r="15" spans="1:6" ht="49.5" customHeight="1" thickBot="1" x14ac:dyDescent="0.3">
      <c r="A15" s="212" t="s">
        <v>131</v>
      </c>
      <c r="B15" s="612">
        <f>'3. General project description'!B15</f>
        <v>0</v>
      </c>
      <c r="C15" s="612"/>
      <c r="D15" s="82"/>
      <c r="E15" s="213" t="s">
        <v>440</v>
      </c>
      <c r="F15" s="335" t="str">
        <f>'3. General project description'!F15</f>
        <v>peak-h</v>
      </c>
    </row>
    <row r="16" spans="1:6" ht="15.75" thickBot="1" x14ac:dyDescent="0.3">
      <c r="A16" s="157"/>
      <c r="B16" s="158"/>
      <c r="C16" s="159"/>
      <c r="D16" s="82"/>
      <c r="E16" s="160"/>
      <c r="F16" s="161"/>
    </row>
    <row r="17" spans="1:6" ht="28.35" customHeight="1" thickBot="1" x14ac:dyDescent="0.3">
      <c r="A17" s="162" t="s">
        <v>5</v>
      </c>
      <c r="B17" s="615" t="str">
        <f>'3. General project description'!B17</f>
        <v>Germany</v>
      </c>
      <c r="C17" s="616"/>
      <c r="D17" s="616"/>
      <c r="E17" s="616"/>
      <c r="F17" s="616"/>
    </row>
    <row r="18" spans="1:6" ht="15.75" thickBot="1" x14ac:dyDescent="0.3">
      <c r="A18" s="82"/>
      <c r="B18" s="82"/>
      <c r="C18" s="82"/>
      <c r="D18" s="82"/>
      <c r="E18" s="82"/>
      <c r="F18" s="82"/>
    </row>
    <row r="19" spans="1:6" ht="24" customHeight="1" thickBot="1" x14ac:dyDescent="0.4">
      <c r="A19" s="343" t="s">
        <v>333</v>
      </c>
      <c r="B19" s="344"/>
      <c r="C19" s="344"/>
      <c r="D19" s="344"/>
      <c r="E19" s="344"/>
      <c r="F19" s="344"/>
    </row>
    <row r="20" spans="1:6" ht="15.75" thickBot="1" x14ac:dyDescent="0.3">
      <c r="A20" s="82"/>
      <c r="B20" s="82"/>
      <c r="C20" s="82"/>
      <c r="D20" s="82"/>
      <c r="E20" s="82"/>
      <c r="F20" s="82"/>
    </row>
    <row r="21" spans="1:6" ht="15.75" customHeight="1" thickBot="1" x14ac:dyDescent="0.3">
      <c r="A21" s="600" t="s">
        <v>139</v>
      </c>
      <c r="B21" s="601"/>
      <c r="C21" s="82"/>
      <c r="D21" s="82"/>
      <c r="E21" s="82"/>
      <c r="F21" s="82"/>
    </row>
    <row r="22" spans="1:6" x14ac:dyDescent="0.25">
      <c r="A22" s="83" t="s">
        <v>137</v>
      </c>
      <c r="B22" s="99">
        <f>'14. Overview_CBA'!G28</f>
        <v>0</v>
      </c>
      <c r="C22" s="82"/>
      <c r="D22" s="82"/>
      <c r="E22" s="82"/>
      <c r="F22" s="82"/>
    </row>
    <row r="23" spans="1:6" x14ac:dyDescent="0.25">
      <c r="A23" s="83" t="s">
        <v>138</v>
      </c>
      <c r="B23" s="99">
        <f>'14. Overview_CBA'!E15</f>
        <v>0</v>
      </c>
      <c r="C23" s="82"/>
      <c r="D23" s="82"/>
      <c r="E23" s="82"/>
      <c r="F23" s="82"/>
    </row>
    <row r="24" spans="1:6" ht="15.75" thickBot="1" x14ac:dyDescent="0.3">
      <c r="A24" s="85" t="s">
        <v>470</v>
      </c>
      <c r="B24" s="131" t="e">
        <f>B22/B23</f>
        <v>#DIV/0!</v>
      </c>
      <c r="C24" s="82"/>
      <c r="D24" s="82"/>
      <c r="E24" s="82"/>
      <c r="F24" s="82"/>
    </row>
    <row r="25" spans="1:6" ht="15.75" thickBot="1" x14ac:dyDescent="0.3">
      <c r="A25" s="86" t="s">
        <v>136</v>
      </c>
      <c r="B25" s="99">
        <f>B22-B23</f>
        <v>0</v>
      </c>
      <c r="C25" s="82"/>
      <c r="D25" s="82"/>
      <c r="E25" s="82"/>
      <c r="F25" s="82"/>
    </row>
    <row r="26" spans="1:6" ht="15.75" thickBot="1" x14ac:dyDescent="0.3">
      <c r="A26" s="82"/>
      <c r="B26" s="82"/>
      <c r="C26" s="82"/>
      <c r="D26" s="82"/>
      <c r="E26" s="82"/>
      <c r="F26" s="82"/>
    </row>
    <row r="27" spans="1:6" ht="24" thickBot="1" x14ac:dyDescent="0.4">
      <c r="A27" s="343" t="s">
        <v>334</v>
      </c>
      <c r="B27" s="344"/>
      <c r="C27" s="344"/>
      <c r="D27" s="344"/>
      <c r="E27" s="344"/>
      <c r="F27" s="344"/>
    </row>
    <row r="28" spans="1:6" x14ac:dyDescent="0.25">
      <c r="A28" s="82"/>
      <c r="B28" s="82"/>
      <c r="C28" s="82"/>
      <c r="D28" s="82"/>
      <c r="E28" s="82"/>
      <c r="F28" s="82"/>
    </row>
    <row r="29" spans="1:6" ht="18.75" customHeight="1" x14ac:dyDescent="0.25">
      <c r="A29" s="603" t="s">
        <v>336</v>
      </c>
      <c r="B29" s="604"/>
      <c r="C29" s="82"/>
      <c r="D29" s="82"/>
      <c r="E29" s="82"/>
      <c r="F29" s="82"/>
    </row>
    <row r="30" spans="1:6" x14ac:dyDescent="0.25">
      <c r="A30" s="83" t="s">
        <v>335</v>
      </c>
      <c r="B30" s="87" t="e">
        <f>'13. Overview_WBA'!L22</f>
        <v>#DIV/0!</v>
      </c>
      <c r="C30" s="82"/>
      <c r="D30" s="82"/>
      <c r="E30" s="82"/>
      <c r="F30" s="82"/>
    </row>
    <row r="31" spans="1:6" ht="15.75" thickBot="1" x14ac:dyDescent="0.3">
      <c r="A31" s="82"/>
      <c r="B31" s="82"/>
      <c r="C31" s="82"/>
      <c r="D31" s="82"/>
      <c r="E31" s="82"/>
      <c r="F31" s="82"/>
    </row>
    <row r="32" spans="1:6" ht="24" thickBot="1" x14ac:dyDescent="0.4">
      <c r="A32" s="343" t="s">
        <v>142</v>
      </c>
      <c r="B32" s="344"/>
      <c r="C32" s="344"/>
      <c r="D32" s="344"/>
      <c r="E32" s="344"/>
      <c r="F32" s="344"/>
    </row>
    <row r="33" spans="1:6" ht="15.75" thickBot="1" x14ac:dyDescent="0.3">
      <c r="A33" s="82"/>
      <c r="B33" s="82"/>
      <c r="C33" s="82"/>
      <c r="D33" s="82"/>
      <c r="E33" s="82"/>
      <c r="F33" s="82"/>
    </row>
    <row r="34" spans="1:6" ht="35.25" customHeight="1" x14ac:dyDescent="0.25">
      <c r="A34" s="88" t="s">
        <v>75</v>
      </c>
      <c r="B34" s="607" t="s">
        <v>0</v>
      </c>
      <c r="C34" s="608"/>
      <c r="D34" s="89" t="s">
        <v>143</v>
      </c>
      <c r="E34" s="82"/>
      <c r="F34" s="82"/>
    </row>
    <row r="35" spans="1:6" ht="21.6" customHeight="1" x14ac:dyDescent="0.25">
      <c r="A35" s="90" t="s">
        <v>327</v>
      </c>
      <c r="B35" s="605" t="s">
        <v>102</v>
      </c>
      <c r="C35" s="606"/>
      <c r="D35" s="84">
        <f>'15. Overview_qual. appraisal'!J5</f>
        <v>0</v>
      </c>
      <c r="E35" s="82"/>
      <c r="F35" s="82"/>
    </row>
    <row r="36" spans="1:6" ht="22.5" customHeight="1" x14ac:dyDescent="0.25">
      <c r="A36" s="90" t="s">
        <v>328</v>
      </c>
      <c r="B36" s="605" t="s">
        <v>483</v>
      </c>
      <c r="C36" s="606"/>
      <c r="D36" s="84">
        <f>'15. Overview_qual. appraisal'!J6</f>
        <v>0</v>
      </c>
      <c r="E36" s="82"/>
      <c r="F36" s="82"/>
    </row>
    <row r="37" spans="1:6" ht="27.95" customHeight="1" thickBot="1" x14ac:dyDescent="0.3">
      <c r="A37" s="91" t="s">
        <v>329</v>
      </c>
      <c r="B37" s="605" t="s">
        <v>480</v>
      </c>
      <c r="C37" s="606"/>
      <c r="D37" s="84">
        <f>'15. Overview_qual. appraisal'!J7</f>
        <v>0</v>
      </c>
      <c r="E37" s="82"/>
      <c r="F37" s="82"/>
    </row>
    <row r="38" spans="1:6" ht="18.75" customHeight="1" thickBot="1" x14ac:dyDescent="0.3">
      <c r="A38" s="91" t="s">
        <v>477</v>
      </c>
      <c r="B38" s="605" t="s">
        <v>337</v>
      </c>
      <c r="C38" s="606"/>
      <c r="D38" s="84">
        <f>'15. Overview_qual. appraisal'!J8</f>
        <v>0</v>
      </c>
      <c r="E38" s="82"/>
      <c r="F38" s="82"/>
    </row>
    <row r="39" spans="1:6" ht="18.75" customHeight="1" thickBot="1" x14ac:dyDescent="0.3">
      <c r="A39" s="91" t="s">
        <v>327</v>
      </c>
      <c r="B39" s="605" t="s">
        <v>486</v>
      </c>
      <c r="C39" s="606"/>
      <c r="D39" s="84">
        <f>'15. Overview_qual. appraisal'!J9</f>
        <v>0</v>
      </c>
      <c r="E39" s="82"/>
      <c r="F39" s="82"/>
    </row>
    <row r="40" spans="1:6" ht="15.75" thickBot="1" x14ac:dyDescent="0.3">
      <c r="A40" s="82"/>
      <c r="B40" s="82"/>
      <c r="C40" s="82"/>
      <c r="D40" s="82"/>
      <c r="E40" s="82"/>
      <c r="F40" s="82"/>
    </row>
    <row r="41" spans="1:6" ht="24" thickBot="1" x14ac:dyDescent="0.4">
      <c r="A41" s="343" t="s">
        <v>141</v>
      </c>
      <c r="B41" s="344"/>
      <c r="C41" s="344"/>
      <c r="D41" s="344"/>
      <c r="E41" s="344"/>
      <c r="F41" s="344"/>
    </row>
    <row r="42" spans="1:6" ht="6" customHeight="1" x14ac:dyDescent="0.25">
      <c r="A42" s="82"/>
      <c r="B42" s="82"/>
      <c r="C42" s="82"/>
      <c r="D42" s="82"/>
      <c r="E42" s="82"/>
      <c r="F42" s="82"/>
    </row>
    <row r="43" spans="1:6" x14ac:dyDescent="0.25">
      <c r="A43" s="602"/>
      <c r="B43" s="602"/>
      <c r="C43" s="602"/>
      <c r="D43" s="602"/>
      <c r="E43" s="602"/>
      <c r="F43" s="602"/>
    </row>
    <row r="44" spans="1:6" x14ac:dyDescent="0.25">
      <c r="A44" s="602"/>
      <c r="B44" s="602"/>
      <c r="C44" s="602"/>
      <c r="D44" s="602"/>
      <c r="E44" s="602"/>
      <c r="F44" s="602"/>
    </row>
    <row r="45" spans="1:6" x14ac:dyDescent="0.25">
      <c r="A45" s="602"/>
      <c r="B45" s="602"/>
      <c r="C45" s="602"/>
      <c r="D45" s="602"/>
      <c r="E45" s="602"/>
      <c r="F45" s="602"/>
    </row>
    <row r="46" spans="1:6" x14ac:dyDescent="0.25">
      <c r="A46" s="602"/>
      <c r="B46" s="602"/>
      <c r="C46" s="602"/>
      <c r="D46" s="602"/>
      <c r="E46" s="602"/>
      <c r="F46" s="602"/>
    </row>
    <row r="47" spans="1:6" s="82" customFormat="1" x14ac:dyDescent="0.25"/>
    <row r="48" spans="1:6" s="82" customFormat="1" x14ac:dyDescent="0.25"/>
    <row r="49" s="82" customFormat="1" x14ac:dyDescent="0.25"/>
    <row r="50" s="82" customFormat="1" x14ac:dyDescent="0.25"/>
    <row r="51" s="82" customFormat="1" x14ac:dyDescent="0.25"/>
    <row r="52" s="82" customFormat="1" x14ac:dyDescent="0.25"/>
    <row r="53" s="82" customFormat="1" x14ac:dyDescent="0.25"/>
    <row r="54" s="82" customFormat="1" x14ac:dyDescent="0.25"/>
    <row r="55" s="82" customFormat="1" x14ac:dyDescent="0.25"/>
    <row r="56" s="82" customFormat="1" x14ac:dyDescent="0.25"/>
    <row r="57" s="82" customFormat="1" x14ac:dyDescent="0.25"/>
    <row r="58" s="82" customFormat="1" x14ac:dyDescent="0.25"/>
    <row r="59" s="82" customFormat="1" x14ac:dyDescent="0.25"/>
    <row r="60" s="82" customFormat="1" x14ac:dyDescent="0.25"/>
    <row r="61" s="82" customFormat="1" x14ac:dyDescent="0.25"/>
    <row r="62" s="82" customFormat="1" x14ac:dyDescent="0.25"/>
    <row r="63" s="82" customFormat="1" x14ac:dyDescent="0.25"/>
    <row r="64" s="82" customFormat="1" x14ac:dyDescent="0.25"/>
    <row r="65" s="82" customFormat="1" x14ac:dyDescent="0.25"/>
    <row r="66" s="82" customFormat="1" x14ac:dyDescent="0.25"/>
    <row r="67" s="82" customFormat="1" x14ac:dyDescent="0.25"/>
    <row r="68" s="82" customFormat="1" x14ac:dyDescent="0.25"/>
    <row r="69" s="82" customFormat="1" x14ac:dyDescent="0.25"/>
    <row r="70" s="82" customFormat="1" x14ac:dyDescent="0.25"/>
    <row r="71" s="82" customFormat="1" x14ac:dyDescent="0.25"/>
    <row r="72" s="82" customFormat="1" x14ac:dyDescent="0.25"/>
    <row r="73" s="82" customFormat="1" x14ac:dyDescent="0.25"/>
    <row r="74" s="82" customFormat="1" x14ac:dyDescent="0.25"/>
    <row r="75" s="82" customFormat="1" x14ac:dyDescent="0.25"/>
    <row r="76" s="82" customFormat="1" x14ac:dyDescent="0.25"/>
    <row r="77" s="82" customFormat="1" x14ac:dyDescent="0.25"/>
    <row r="78" s="82" customFormat="1" x14ac:dyDescent="0.25"/>
    <row r="79" s="82" customFormat="1" x14ac:dyDescent="0.25"/>
    <row r="80" s="82" customFormat="1" x14ac:dyDescent="0.25"/>
    <row r="81" s="82" customFormat="1" x14ac:dyDescent="0.25"/>
    <row r="82" s="82" customFormat="1" x14ac:dyDescent="0.25"/>
    <row r="83" s="82" customFormat="1" x14ac:dyDescent="0.25"/>
    <row r="84" s="82" customFormat="1" x14ac:dyDescent="0.25"/>
    <row r="85" s="82" customFormat="1" x14ac:dyDescent="0.25"/>
    <row r="86" s="82" customFormat="1" x14ac:dyDescent="0.25"/>
    <row r="87" s="82" customFormat="1" x14ac:dyDescent="0.25"/>
    <row r="88" s="82" customFormat="1" x14ac:dyDescent="0.25"/>
    <row r="89" s="82" customFormat="1" x14ac:dyDescent="0.25"/>
    <row r="90" s="82" customFormat="1" x14ac:dyDescent="0.25"/>
    <row r="91" s="82" customFormat="1" x14ac:dyDescent="0.25"/>
    <row r="92" s="82" customFormat="1" x14ac:dyDescent="0.25"/>
    <row r="93" s="82" customFormat="1" x14ac:dyDescent="0.25"/>
    <row r="94" s="82" customFormat="1" x14ac:dyDescent="0.25"/>
    <row r="95" s="82" customFormat="1" x14ac:dyDescent="0.25"/>
    <row r="96" s="82" customFormat="1" x14ac:dyDescent="0.25"/>
    <row r="97" s="82" customFormat="1" x14ac:dyDescent="0.25"/>
    <row r="98" s="82" customFormat="1" x14ac:dyDescent="0.25"/>
    <row r="99" s="82" customFormat="1" x14ac:dyDescent="0.25"/>
    <row r="100" s="82" customFormat="1" x14ac:dyDescent="0.25"/>
    <row r="101" s="82" customFormat="1" x14ac:dyDescent="0.25"/>
    <row r="102" s="82" customFormat="1" x14ac:dyDescent="0.25"/>
    <row r="103" s="82" customFormat="1" x14ac:dyDescent="0.25"/>
    <row r="104" s="82" customFormat="1" x14ac:dyDescent="0.25"/>
    <row r="105" s="82" customFormat="1" x14ac:dyDescent="0.25"/>
    <row r="106" s="82" customFormat="1" x14ac:dyDescent="0.25"/>
    <row r="107" s="82" customFormat="1" x14ac:dyDescent="0.25"/>
    <row r="108" s="82" customFormat="1" x14ac:dyDescent="0.25"/>
    <row r="109" s="82" customFormat="1" x14ac:dyDescent="0.25"/>
    <row r="110" s="82" customFormat="1" x14ac:dyDescent="0.25"/>
    <row r="111" s="82" customFormat="1" x14ac:dyDescent="0.25"/>
    <row r="112" s="82" customFormat="1" x14ac:dyDescent="0.25"/>
    <row r="113" s="82" customFormat="1" x14ac:dyDescent="0.25"/>
    <row r="114" s="82" customFormat="1" x14ac:dyDescent="0.25"/>
    <row r="115" s="82" customFormat="1" x14ac:dyDescent="0.25"/>
    <row r="116" s="82" customFormat="1" x14ac:dyDescent="0.25"/>
    <row r="117" s="82" customFormat="1" x14ac:dyDescent="0.25"/>
    <row r="118" s="82" customFormat="1" x14ac:dyDescent="0.25"/>
    <row r="119" s="82" customFormat="1" x14ac:dyDescent="0.25"/>
    <row r="120" s="82" customFormat="1" x14ac:dyDescent="0.25"/>
    <row r="121" s="82" customFormat="1" x14ac:dyDescent="0.25"/>
    <row r="122" s="82" customFormat="1" x14ac:dyDescent="0.25"/>
    <row r="123" s="82" customFormat="1" x14ac:dyDescent="0.25"/>
    <row r="124" s="82" customFormat="1" x14ac:dyDescent="0.25"/>
    <row r="125" s="82" customFormat="1" x14ac:dyDescent="0.25"/>
    <row r="126" s="82" customFormat="1" x14ac:dyDescent="0.25"/>
    <row r="127" s="82" customFormat="1" x14ac:dyDescent="0.25"/>
    <row r="128" s="82" customFormat="1" x14ac:dyDescent="0.25"/>
    <row r="129" s="82" customFormat="1" x14ac:dyDescent="0.25"/>
    <row r="130" s="82" customFormat="1" x14ac:dyDescent="0.25"/>
    <row r="131" s="82" customFormat="1" x14ac:dyDescent="0.25"/>
    <row r="132" s="82" customFormat="1" x14ac:dyDescent="0.25"/>
    <row r="133" s="82" customFormat="1" x14ac:dyDescent="0.25"/>
    <row r="134" s="82" customFormat="1" x14ac:dyDescent="0.25"/>
    <row r="135" s="82" customFormat="1" x14ac:dyDescent="0.25"/>
    <row r="136" s="82" customFormat="1" x14ac:dyDescent="0.25"/>
    <row r="137" s="82" customFormat="1" x14ac:dyDescent="0.25"/>
    <row r="138" s="82" customFormat="1" x14ac:dyDescent="0.25"/>
    <row r="139" s="82" customFormat="1" x14ac:dyDescent="0.25"/>
    <row r="140" s="82" customFormat="1" x14ac:dyDescent="0.25"/>
    <row r="141" s="82" customFormat="1" x14ac:dyDescent="0.25"/>
    <row r="142" s="82" customFormat="1" x14ac:dyDescent="0.25"/>
    <row r="143" s="82" customFormat="1" x14ac:dyDescent="0.25"/>
    <row r="144" s="82" customFormat="1" x14ac:dyDescent="0.25"/>
    <row r="145" s="82" customFormat="1" x14ac:dyDescent="0.25"/>
    <row r="146" s="82" customFormat="1" x14ac:dyDescent="0.25"/>
    <row r="147" s="82" customFormat="1" x14ac:dyDescent="0.25"/>
    <row r="148" s="82" customFormat="1" x14ac:dyDescent="0.25"/>
    <row r="149" s="82" customFormat="1" x14ac:dyDescent="0.25"/>
    <row r="150" s="82" customFormat="1" x14ac:dyDescent="0.25"/>
    <row r="151" s="82" customFormat="1" x14ac:dyDescent="0.25"/>
    <row r="152" s="82" customFormat="1" x14ac:dyDescent="0.25"/>
    <row r="153" s="82" customFormat="1" x14ac:dyDescent="0.25"/>
    <row r="154" s="82" customFormat="1" x14ac:dyDescent="0.25"/>
    <row r="155" s="82" customFormat="1" x14ac:dyDescent="0.25"/>
    <row r="156" s="82" customFormat="1" x14ac:dyDescent="0.25"/>
    <row r="157" s="82" customFormat="1" x14ac:dyDescent="0.25"/>
    <row r="158" s="82" customFormat="1" x14ac:dyDescent="0.25"/>
    <row r="159" s="82" customFormat="1" x14ac:dyDescent="0.25"/>
    <row r="160" s="82" customFormat="1" x14ac:dyDescent="0.25"/>
    <row r="161" s="82" customFormat="1" x14ac:dyDescent="0.25"/>
    <row r="162" s="82" customFormat="1" x14ac:dyDescent="0.25"/>
    <row r="163" s="82" customFormat="1" x14ac:dyDescent="0.25"/>
    <row r="164" s="82" customFormat="1" x14ac:dyDescent="0.25"/>
    <row r="165" s="82" customFormat="1" x14ac:dyDescent="0.25"/>
    <row r="166" s="82" customFormat="1" x14ac:dyDescent="0.25"/>
    <row r="167" s="82" customFormat="1" x14ac:dyDescent="0.25"/>
    <row r="168" s="82" customFormat="1" x14ac:dyDescent="0.25"/>
    <row r="169" s="82" customFormat="1" x14ac:dyDescent="0.25"/>
    <row r="170" s="82" customFormat="1" x14ac:dyDescent="0.25"/>
    <row r="171" s="82" customFormat="1" x14ac:dyDescent="0.25"/>
    <row r="172" s="82" customFormat="1" x14ac:dyDescent="0.25"/>
    <row r="173" s="82" customFormat="1" x14ac:dyDescent="0.25"/>
    <row r="174" s="82" customFormat="1" x14ac:dyDescent="0.25"/>
    <row r="175" s="82" customFormat="1" x14ac:dyDescent="0.25"/>
    <row r="176" s="82" customFormat="1" x14ac:dyDescent="0.25"/>
    <row r="177" s="82" customFormat="1" x14ac:dyDescent="0.25"/>
    <row r="178" s="82" customFormat="1" x14ac:dyDescent="0.25"/>
    <row r="179" s="82" customFormat="1" x14ac:dyDescent="0.25"/>
    <row r="180" s="82" customFormat="1" x14ac:dyDescent="0.25"/>
    <row r="181" s="82" customFormat="1" x14ac:dyDescent="0.25"/>
    <row r="182" s="82" customFormat="1" x14ac:dyDescent="0.25"/>
    <row r="183" s="82" customFormat="1" x14ac:dyDescent="0.25"/>
    <row r="184" s="82" customFormat="1" x14ac:dyDescent="0.25"/>
    <row r="185" s="82" customFormat="1" x14ac:dyDescent="0.25"/>
    <row r="186" s="82" customFormat="1" x14ac:dyDescent="0.25"/>
    <row r="187" s="82" customFormat="1" x14ac:dyDescent="0.25"/>
    <row r="188" s="82" customFormat="1" x14ac:dyDescent="0.25"/>
    <row r="189" s="82" customFormat="1" x14ac:dyDescent="0.25"/>
    <row r="190" s="82" customFormat="1" x14ac:dyDescent="0.25"/>
    <row r="191" s="82" customFormat="1" x14ac:dyDescent="0.25"/>
    <row r="192" s="82" customFormat="1" x14ac:dyDescent="0.25"/>
    <row r="193" s="82" customFormat="1" x14ac:dyDescent="0.25"/>
    <row r="194" s="82" customFormat="1" x14ac:dyDescent="0.25"/>
    <row r="195" s="82" customFormat="1" x14ac:dyDescent="0.25"/>
    <row r="196" s="82" customFormat="1" x14ac:dyDescent="0.25"/>
    <row r="197" s="82" customFormat="1" x14ac:dyDescent="0.25"/>
    <row r="198" s="82" customFormat="1" x14ac:dyDescent="0.25"/>
    <row r="199" s="82" customFormat="1" x14ac:dyDescent="0.25"/>
    <row r="200" s="82" customFormat="1" x14ac:dyDescent="0.25"/>
    <row r="201" s="82" customFormat="1" x14ac:dyDescent="0.25"/>
    <row r="202" s="82" customFormat="1" x14ac:dyDescent="0.25"/>
    <row r="203" s="82" customFormat="1" x14ac:dyDescent="0.25"/>
    <row r="204" s="82" customFormat="1" x14ac:dyDescent="0.25"/>
    <row r="205" s="82" customFormat="1" x14ac:dyDescent="0.25"/>
    <row r="206" s="82" customFormat="1" x14ac:dyDescent="0.25"/>
    <row r="207" s="82" customFormat="1" x14ac:dyDescent="0.25"/>
    <row r="208" s="82" customFormat="1" x14ac:dyDescent="0.25"/>
    <row r="209" s="82" customFormat="1" x14ac:dyDescent="0.25"/>
    <row r="210" s="82" customFormat="1" x14ac:dyDescent="0.25"/>
    <row r="211" s="82" customFormat="1" x14ac:dyDescent="0.25"/>
    <row r="212" s="82" customFormat="1" x14ac:dyDescent="0.25"/>
    <row r="213" s="82" customFormat="1" x14ac:dyDescent="0.25"/>
    <row r="214" s="82" customFormat="1" x14ac:dyDescent="0.25"/>
    <row r="215" s="82" customFormat="1" x14ac:dyDescent="0.25"/>
    <row r="216" s="82" customFormat="1" x14ac:dyDescent="0.25"/>
    <row r="217" s="82" customFormat="1" x14ac:dyDescent="0.25"/>
    <row r="218" s="82" customFormat="1" x14ac:dyDescent="0.25"/>
    <row r="219" s="82" customFormat="1" x14ac:dyDescent="0.25"/>
    <row r="220" s="82" customFormat="1" x14ac:dyDescent="0.25"/>
    <row r="221" s="82" customFormat="1" x14ac:dyDescent="0.25"/>
    <row r="222" s="82" customFormat="1" x14ac:dyDescent="0.25"/>
    <row r="223" s="82" customFormat="1" x14ac:dyDescent="0.25"/>
    <row r="224" s="82" customFormat="1" x14ac:dyDescent="0.25"/>
    <row r="225" s="82" customFormat="1" x14ac:dyDescent="0.25"/>
    <row r="226" s="82" customFormat="1" x14ac:dyDescent="0.25"/>
    <row r="227" s="82" customFormat="1" x14ac:dyDescent="0.25"/>
    <row r="228" s="82" customFormat="1" x14ac:dyDescent="0.25"/>
    <row r="229" s="82" customFormat="1" x14ac:dyDescent="0.25"/>
    <row r="230" s="82" customFormat="1" x14ac:dyDescent="0.25"/>
    <row r="231" s="82" customFormat="1" x14ac:dyDescent="0.25"/>
    <row r="232" s="82" customFormat="1" x14ac:dyDescent="0.25"/>
    <row r="233" s="82" customFormat="1" x14ac:dyDescent="0.25"/>
    <row r="234" s="82" customFormat="1" x14ac:dyDescent="0.25"/>
    <row r="235" s="82" customFormat="1" x14ac:dyDescent="0.25"/>
    <row r="236" s="82" customFormat="1" x14ac:dyDescent="0.25"/>
    <row r="237" s="82" customFormat="1" x14ac:dyDescent="0.25"/>
    <row r="238" s="82" customFormat="1" x14ac:dyDescent="0.25"/>
    <row r="239" s="82" customFormat="1" x14ac:dyDescent="0.25"/>
    <row r="240" s="82" customFormat="1" x14ac:dyDescent="0.25"/>
    <row r="241" s="82" customFormat="1" x14ac:dyDescent="0.25"/>
    <row r="242" s="82" customFormat="1" x14ac:dyDescent="0.25"/>
    <row r="243" s="82" customFormat="1" x14ac:dyDescent="0.25"/>
    <row r="244" s="82" customFormat="1" x14ac:dyDescent="0.25"/>
    <row r="245" s="82" customFormat="1" x14ac:dyDescent="0.25"/>
    <row r="246" s="82" customFormat="1" x14ac:dyDescent="0.25"/>
    <row r="247" s="82" customFormat="1" x14ac:dyDescent="0.25"/>
    <row r="248" s="82" customFormat="1" x14ac:dyDescent="0.25"/>
    <row r="249" s="82" customFormat="1" x14ac:dyDescent="0.25"/>
    <row r="250" s="82" customFormat="1" x14ac:dyDescent="0.25"/>
    <row r="251" s="82" customFormat="1" x14ac:dyDescent="0.25"/>
    <row r="252" s="82" customFormat="1" x14ac:dyDescent="0.25"/>
    <row r="253" s="82" customFormat="1" x14ac:dyDescent="0.25"/>
    <row r="254" s="82" customFormat="1" x14ac:dyDescent="0.25"/>
    <row r="255" s="82" customFormat="1" x14ac:dyDescent="0.25"/>
    <row r="256" s="82" customFormat="1" x14ac:dyDescent="0.25"/>
    <row r="257" s="82" customFormat="1" x14ac:dyDescent="0.25"/>
    <row r="258" s="82" customFormat="1" x14ac:dyDescent="0.25"/>
    <row r="259" s="82" customFormat="1" x14ac:dyDescent="0.25"/>
    <row r="260" s="82" customFormat="1" x14ac:dyDescent="0.25"/>
    <row r="261" s="82" customFormat="1" x14ac:dyDescent="0.25"/>
    <row r="262" s="82" customFormat="1" x14ac:dyDescent="0.25"/>
    <row r="263" s="82" customFormat="1" x14ac:dyDescent="0.25"/>
    <row r="264" s="82" customFormat="1" x14ac:dyDescent="0.25"/>
    <row r="265" s="82" customFormat="1" x14ac:dyDescent="0.25"/>
    <row r="266" s="82" customFormat="1" x14ac:dyDescent="0.25"/>
    <row r="267" s="82" customFormat="1" x14ac:dyDescent="0.25"/>
    <row r="268" s="82" customFormat="1" x14ac:dyDescent="0.25"/>
    <row r="269" s="82" customFormat="1" x14ac:dyDescent="0.25"/>
    <row r="270" s="82" customFormat="1" x14ac:dyDescent="0.25"/>
    <row r="271" s="82" customFormat="1" x14ac:dyDescent="0.25"/>
    <row r="272" s="82" customFormat="1" x14ac:dyDescent="0.25"/>
    <row r="273" s="82" customFormat="1" x14ac:dyDescent="0.25"/>
    <row r="274" s="82" customFormat="1" x14ac:dyDescent="0.25"/>
    <row r="275" s="82" customFormat="1" x14ac:dyDescent="0.25"/>
    <row r="276" s="82" customFormat="1" x14ac:dyDescent="0.25"/>
    <row r="277" s="82" customFormat="1" x14ac:dyDescent="0.25"/>
    <row r="278" s="82" customFormat="1" x14ac:dyDescent="0.25"/>
    <row r="279" s="82" customFormat="1" x14ac:dyDescent="0.25"/>
    <row r="280" s="82" customFormat="1" x14ac:dyDescent="0.25"/>
    <row r="281" s="82" customFormat="1" x14ac:dyDescent="0.25"/>
    <row r="282" s="82" customFormat="1" x14ac:dyDescent="0.25"/>
    <row r="283" s="82" customFormat="1" x14ac:dyDescent="0.25"/>
    <row r="284" s="82" customFormat="1" x14ac:dyDescent="0.25"/>
    <row r="285" s="82" customFormat="1" x14ac:dyDescent="0.25"/>
    <row r="286" s="82" customFormat="1" x14ac:dyDescent="0.25"/>
    <row r="287" s="82" customFormat="1" x14ac:dyDescent="0.25"/>
    <row r="288" s="82" customFormat="1" x14ac:dyDescent="0.25"/>
    <row r="289" s="82" customFormat="1" x14ac:dyDescent="0.25"/>
    <row r="290" s="82" customFormat="1" x14ac:dyDescent="0.25"/>
    <row r="291" s="82" customFormat="1" x14ac:dyDescent="0.25"/>
    <row r="292" s="82" customFormat="1" x14ac:dyDescent="0.25"/>
    <row r="293" s="82" customFormat="1" x14ac:dyDescent="0.25"/>
    <row r="294" s="82" customFormat="1" x14ac:dyDescent="0.25"/>
    <row r="295" s="82" customFormat="1" x14ac:dyDescent="0.25"/>
    <row r="296" s="82" customFormat="1" x14ac:dyDescent="0.25"/>
    <row r="297" s="82" customFormat="1" x14ac:dyDescent="0.25"/>
    <row r="298" s="82" customFormat="1" x14ac:dyDescent="0.25"/>
    <row r="299" s="82" customFormat="1" x14ac:dyDescent="0.25"/>
    <row r="300" s="82" customFormat="1" x14ac:dyDescent="0.25"/>
    <row r="301" s="82" customFormat="1" x14ac:dyDescent="0.25"/>
    <row r="302" s="82" customFormat="1" x14ac:dyDescent="0.25"/>
    <row r="303" s="82" customFormat="1" x14ac:dyDescent="0.25"/>
    <row r="304" s="82" customFormat="1" x14ac:dyDescent="0.25"/>
    <row r="305" s="82" customFormat="1" x14ac:dyDescent="0.25"/>
    <row r="306" s="82" customFormat="1" x14ac:dyDescent="0.25"/>
    <row r="307" s="82" customFormat="1" x14ac:dyDescent="0.25"/>
    <row r="308" s="82" customFormat="1" x14ac:dyDescent="0.25"/>
    <row r="309" s="82" customFormat="1" x14ac:dyDescent="0.25"/>
    <row r="310" s="82" customFormat="1" x14ac:dyDescent="0.25"/>
    <row r="311" s="82" customFormat="1" x14ac:dyDescent="0.25"/>
    <row r="312" s="82" customFormat="1" x14ac:dyDescent="0.25"/>
    <row r="313" s="82" customFormat="1" x14ac:dyDescent="0.25"/>
    <row r="314" s="82" customFormat="1" x14ac:dyDescent="0.25"/>
    <row r="315" s="82" customFormat="1" x14ac:dyDescent="0.25"/>
    <row r="316" s="82" customFormat="1" x14ac:dyDescent="0.25"/>
    <row r="317" s="82" customFormat="1" x14ac:dyDescent="0.25"/>
    <row r="318" s="82" customFormat="1" x14ac:dyDescent="0.25"/>
    <row r="319" s="82" customFormat="1" x14ac:dyDescent="0.25"/>
    <row r="320" s="82" customFormat="1" x14ac:dyDescent="0.25"/>
    <row r="321" s="82" customFormat="1" x14ac:dyDescent="0.25"/>
    <row r="322" s="82" customFormat="1" x14ac:dyDescent="0.25"/>
    <row r="323" s="82" customFormat="1" x14ac:dyDescent="0.25"/>
    <row r="324" s="82" customFormat="1" x14ac:dyDescent="0.25"/>
    <row r="325" s="82" customFormat="1" x14ac:dyDescent="0.25"/>
    <row r="326" s="82" customFormat="1" x14ac:dyDescent="0.25"/>
    <row r="327" s="82" customFormat="1" x14ac:dyDescent="0.25"/>
    <row r="328" s="82" customFormat="1" x14ac:dyDescent="0.25"/>
    <row r="329" s="82" customFormat="1" x14ac:dyDescent="0.25"/>
    <row r="330" s="82" customFormat="1" x14ac:dyDescent="0.25"/>
    <row r="331" s="82" customFormat="1" x14ac:dyDescent="0.25"/>
    <row r="332" s="82" customFormat="1" x14ac:dyDescent="0.25"/>
    <row r="333" s="82" customFormat="1" x14ac:dyDescent="0.25"/>
    <row r="334" s="82" customFormat="1" x14ac:dyDescent="0.25"/>
    <row r="335" s="82" customFormat="1" x14ac:dyDescent="0.25"/>
    <row r="336" s="82" customFormat="1" x14ac:dyDescent="0.25"/>
    <row r="337" s="82" customFormat="1" x14ac:dyDescent="0.25"/>
    <row r="338" s="82" customFormat="1" x14ac:dyDescent="0.25"/>
    <row r="339" s="82" customFormat="1" x14ac:dyDescent="0.25"/>
    <row r="340" s="82" customFormat="1" x14ac:dyDescent="0.25"/>
    <row r="341" s="82" customFormat="1" x14ac:dyDescent="0.25"/>
    <row r="342" s="82" customFormat="1" x14ac:dyDescent="0.25"/>
    <row r="343" s="82" customFormat="1" x14ac:dyDescent="0.25"/>
    <row r="344" s="82" customFormat="1" x14ac:dyDescent="0.25"/>
    <row r="345" s="82" customFormat="1" x14ac:dyDescent="0.25"/>
    <row r="346" s="82" customFormat="1" x14ac:dyDescent="0.25"/>
    <row r="347" s="82" customFormat="1" x14ac:dyDescent="0.25"/>
    <row r="348" s="82" customFormat="1" x14ac:dyDescent="0.25"/>
    <row r="349" s="82" customFormat="1" x14ac:dyDescent="0.25"/>
    <row r="350" s="82" customFormat="1" x14ac:dyDescent="0.25"/>
    <row r="351" s="82" customFormat="1" x14ac:dyDescent="0.25"/>
    <row r="352" s="82" customFormat="1" x14ac:dyDescent="0.25"/>
    <row r="353" s="82" customFormat="1" x14ac:dyDescent="0.25"/>
    <row r="354" s="82" customFormat="1" x14ac:dyDescent="0.25"/>
    <row r="355" s="82" customFormat="1" x14ac:dyDescent="0.25"/>
    <row r="356" s="82" customFormat="1" x14ac:dyDescent="0.25"/>
    <row r="357" s="82" customFormat="1" x14ac:dyDescent="0.25"/>
    <row r="358" s="82" customFormat="1" x14ac:dyDescent="0.25"/>
    <row r="359" s="82" customFormat="1" x14ac:dyDescent="0.25"/>
    <row r="360" s="82" customFormat="1" x14ac:dyDescent="0.25"/>
    <row r="361" s="82" customFormat="1" x14ac:dyDescent="0.25"/>
    <row r="362" s="82" customFormat="1" x14ac:dyDescent="0.25"/>
    <row r="363" s="82" customFormat="1" x14ac:dyDescent="0.25"/>
    <row r="364" s="82" customFormat="1" x14ac:dyDescent="0.25"/>
    <row r="365" s="82" customFormat="1" x14ac:dyDescent="0.25"/>
    <row r="366" s="82" customFormat="1" x14ac:dyDescent="0.25"/>
    <row r="367" s="82" customFormat="1" x14ac:dyDescent="0.25"/>
    <row r="368" s="82" customFormat="1" x14ac:dyDescent="0.25"/>
    <row r="369" s="82" customFormat="1" x14ac:dyDescent="0.25"/>
    <row r="370" s="82" customFormat="1" x14ac:dyDescent="0.25"/>
    <row r="371" s="82" customFormat="1" x14ac:dyDescent="0.25"/>
    <row r="372" s="82" customFormat="1" x14ac:dyDescent="0.25"/>
    <row r="373" s="82" customFormat="1" x14ac:dyDescent="0.25"/>
    <row r="374" s="82" customFormat="1" x14ac:dyDescent="0.25"/>
    <row r="375" s="82" customFormat="1" x14ac:dyDescent="0.25"/>
    <row r="376" s="82" customFormat="1" x14ac:dyDescent="0.25"/>
    <row r="377" s="82" customFormat="1" x14ac:dyDescent="0.25"/>
    <row r="378" s="82" customFormat="1" x14ac:dyDescent="0.25"/>
    <row r="379" s="82" customFormat="1" x14ac:dyDescent="0.25"/>
    <row r="380" s="82" customFormat="1" x14ac:dyDescent="0.25"/>
    <row r="381" s="82" customFormat="1" x14ac:dyDescent="0.25"/>
    <row r="382" s="82" customFormat="1" x14ac:dyDescent="0.25"/>
    <row r="383" s="82" customFormat="1" x14ac:dyDescent="0.25"/>
    <row r="384" s="82" customFormat="1" x14ac:dyDescent="0.25"/>
    <row r="385" s="82" customFormat="1" x14ac:dyDescent="0.25"/>
    <row r="386" s="82" customFormat="1" x14ac:dyDescent="0.25"/>
    <row r="387" s="82" customFormat="1" x14ac:dyDescent="0.25"/>
    <row r="388" s="82" customFormat="1" x14ac:dyDescent="0.25"/>
    <row r="389" s="82" customFormat="1" x14ac:dyDescent="0.25"/>
    <row r="390" s="82" customFormat="1" x14ac:dyDescent="0.25"/>
    <row r="391" s="82" customFormat="1" x14ac:dyDescent="0.25"/>
    <row r="392" s="82" customFormat="1" x14ac:dyDescent="0.25"/>
    <row r="393" s="82" customFormat="1" x14ac:dyDescent="0.25"/>
    <row r="394" s="82" customFormat="1" x14ac:dyDescent="0.25"/>
    <row r="395" s="82" customFormat="1" x14ac:dyDescent="0.25"/>
    <row r="396" s="82" customFormat="1" x14ac:dyDescent="0.25"/>
    <row r="397" s="82" customFormat="1" x14ac:dyDescent="0.25"/>
    <row r="398" s="82" customFormat="1" x14ac:dyDescent="0.25"/>
    <row r="399" s="82" customFormat="1" x14ac:dyDescent="0.25"/>
    <row r="400" s="82" customFormat="1" x14ac:dyDescent="0.25"/>
    <row r="401" s="82" customFormat="1" x14ac:dyDescent="0.25"/>
    <row r="402" s="82" customFormat="1" x14ac:dyDescent="0.25"/>
    <row r="403" s="82" customFormat="1" x14ac:dyDescent="0.25"/>
    <row r="404" s="82" customFormat="1" x14ac:dyDescent="0.25"/>
    <row r="405" s="82" customFormat="1" x14ac:dyDescent="0.25"/>
    <row r="406" s="82" customFormat="1" x14ac:dyDescent="0.25"/>
    <row r="407" s="82" customFormat="1" x14ac:dyDescent="0.25"/>
    <row r="408" s="82" customFormat="1" x14ac:dyDescent="0.25"/>
  </sheetData>
  <sheetProtection algorithmName="SHA-512" hashValue="jlt+8MCYxm/2/qH33pCQ5BRnEnn2mKSTa0tBAhYSDj/1bzfii7iPjdJ5n0HGvQlJDnST+T/hFT3YiK8SUyVOsA==" saltValue="I8dE8o7HfZZ1Nxl6x0DAYw==" spinCount="100000" sheet="1" selectLockedCells="1"/>
  <protectedRanges>
    <protectedRange algorithmName="SHA-512" hashValue="v0q/dntxKjSqW1/6EJrETGtmY3tFBNB5lcgkTISsMoZQalgyyg/uYxMpbwKYEsm5M8Ub4EBtxeMl0Rmjs3b8gA==" saltValue="gTOHFrtvp3JabNhOZZQghg==" spinCount="100000" sqref="C17 B12:C16" name="Measure"/>
  </protectedRanges>
  <mergeCells count="21">
    <mergeCell ref="E11:F11"/>
    <mergeCell ref="A1:F1"/>
    <mergeCell ref="A19:F19"/>
    <mergeCell ref="A11:C11"/>
    <mergeCell ref="B12:C12"/>
    <mergeCell ref="B13:C13"/>
    <mergeCell ref="B14:C14"/>
    <mergeCell ref="B15:C15"/>
    <mergeCell ref="B17:F17"/>
    <mergeCell ref="A21:B21"/>
    <mergeCell ref="A41:F41"/>
    <mergeCell ref="A43:F46"/>
    <mergeCell ref="A32:F32"/>
    <mergeCell ref="A27:F27"/>
    <mergeCell ref="A29:B29"/>
    <mergeCell ref="B35:C35"/>
    <mergeCell ref="B36:C36"/>
    <mergeCell ref="B37:C37"/>
    <mergeCell ref="B34:C34"/>
    <mergeCell ref="B38:C38"/>
    <mergeCell ref="B39:C39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D59"/>
  <sheetViews>
    <sheetView workbookViewId="0">
      <pane ySplit="1" topLeftCell="A2" activePane="bottomLeft" state="frozen"/>
      <selection pane="bottomLeft" activeCell="E5" sqref="E5"/>
    </sheetView>
  </sheetViews>
  <sheetFormatPr baseColWidth="10" defaultColWidth="11.42578125" defaultRowHeight="15" x14ac:dyDescent="0.25"/>
  <cols>
    <col min="1" max="1" width="16.42578125" customWidth="1"/>
    <col min="2" max="2" width="33.5703125" customWidth="1"/>
    <col min="3" max="3" width="34.42578125" customWidth="1"/>
    <col min="4" max="4" width="11.5703125" customWidth="1"/>
    <col min="5" max="5" width="29.85546875" customWidth="1"/>
    <col min="6" max="6" width="25.5703125" customWidth="1"/>
    <col min="7" max="7" width="24.42578125" customWidth="1"/>
    <col min="8" max="8" width="29" customWidth="1"/>
    <col min="9" max="9" width="24.5703125" customWidth="1"/>
    <col min="10" max="10" width="23.85546875" customWidth="1"/>
    <col min="11" max="11" width="23.42578125" customWidth="1"/>
    <col min="12" max="12" width="11.85546875" customWidth="1"/>
    <col min="13" max="22" width="11.5703125" customWidth="1"/>
  </cols>
  <sheetData>
    <row r="1" spans="1:26" ht="120.75" thickBot="1" x14ac:dyDescent="0.3">
      <c r="A1" s="134" t="s">
        <v>5</v>
      </c>
      <c r="B1" s="134" t="s">
        <v>166</v>
      </c>
      <c r="C1" s="134" t="s">
        <v>167</v>
      </c>
      <c r="D1" s="98" t="s">
        <v>176</v>
      </c>
      <c r="E1" s="134" t="s">
        <v>177</v>
      </c>
      <c r="F1" s="134" t="s">
        <v>179</v>
      </c>
      <c r="G1" s="134" t="s">
        <v>181</v>
      </c>
      <c r="H1" s="134" t="s">
        <v>178</v>
      </c>
      <c r="I1" s="134" t="s">
        <v>180</v>
      </c>
      <c r="J1" s="134" t="s">
        <v>182</v>
      </c>
      <c r="K1" s="134" t="s">
        <v>183</v>
      </c>
      <c r="L1" s="134" t="s">
        <v>36</v>
      </c>
      <c r="M1" s="134" t="s">
        <v>37</v>
      </c>
      <c r="N1" s="134" t="s">
        <v>38</v>
      </c>
      <c r="O1" s="133" t="s">
        <v>372</v>
      </c>
      <c r="P1" s="133" t="s">
        <v>212</v>
      </c>
      <c r="Q1" s="133" t="s">
        <v>206</v>
      </c>
      <c r="R1" s="133" t="s">
        <v>207</v>
      </c>
      <c r="S1" s="133" t="s">
        <v>208</v>
      </c>
      <c r="T1" s="133" t="s">
        <v>209</v>
      </c>
      <c r="U1" s="133" t="s">
        <v>210</v>
      </c>
      <c r="V1" s="133" t="s">
        <v>211</v>
      </c>
      <c r="W1" s="133" t="s">
        <v>296</v>
      </c>
      <c r="X1" s="133" t="s">
        <v>295</v>
      </c>
      <c r="Y1" s="133" t="s">
        <v>294</v>
      </c>
      <c r="Z1" s="133" t="s">
        <v>297</v>
      </c>
    </row>
    <row r="2" spans="1:26" ht="15.75" thickBot="1" x14ac:dyDescent="0.3">
      <c r="A2" s="134" t="s">
        <v>39</v>
      </c>
      <c r="B2" s="190">
        <v>247.76</v>
      </c>
      <c r="C2" s="190">
        <v>427.02</v>
      </c>
      <c r="D2" s="191">
        <v>1.4686080024390544</v>
      </c>
      <c r="E2" s="192">
        <v>41.708467269269143</v>
      </c>
      <c r="F2" s="192">
        <v>11.792922259585605</v>
      </c>
      <c r="G2" s="192">
        <v>9.8837318564148369</v>
      </c>
      <c r="H2" s="192">
        <v>33.469576375586051</v>
      </c>
      <c r="I2" s="192">
        <v>8.4885542540977355</v>
      </c>
      <c r="J2" s="192">
        <v>7.1080627318050231</v>
      </c>
      <c r="K2" s="192">
        <v>4.9492089682196134</v>
      </c>
      <c r="L2" s="193">
        <v>2584750.0842927359</v>
      </c>
      <c r="M2" s="193">
        <v>352906.50298610475</v>
      </c>
      <c r="N2" s="193">
        <v>27903.552046342033</v>
      </c>
      <c r="O2" s="194">
        <v>1</v>
      </c>
      <c r="P2" s="195">
        <v>1.0780000000000001</v>
      </c>
      <c r="Q2" s="167">
        <v>0.998</v>
      </c>
      <c r="R2" s="196">
        <v>0.48199999999999998</v>
      </c>
      <c r="S2" s="196">
        <v>0.39700000000000002</v>
      </c>
      <c r="T2" s="197">
        <f t="shared" ref="T2:T32" si="0">P2-R2</f>
        <v>0.59600000000000009</v>
      </c>
      <c r="U2" s="197">
        <f t="shared" ref="U2:U32" si="1">Q2-S2</f>
        <v>0.60099999999999998</v>
      </c>
      <c r="V2" s="198">
        <v>0.124</v>
      </c>
      <c r="W2" s="199">
        <v>172.35790761345336</v>
      </c>
      <c r="X2" s="200">
        <v>16055.257147554561</v>
      </c>
      <c r="Y2" s="200">
        <v>569253.30856991245</v>
      </c>
      <c r="Z2" s="200">
        <v>227724.93410024079</v>
      </c>
    </row>
    <row r="3" spans="1:26" ht="15.75" thickBot="1" x14ac:dyDescent="0.3">
      <c r="A3" s="134" t="s">
        <v>40</v>
      </c>
      <c r="B3" s="190">
        <v>282.49</v>
      </c>
      <c r="C3" s="190">
        <v>461.63</v>
      </c>
      <c r="D3" s="191">
        <v>1.4443606651082865</v>
      </c>
      <c r="E3" s="192">
        <v>39.633256650571383</v>
      </c>
      <c r="F3" s="192">
        <v>11.078246301380558</v>
      </c>
      <c r="G3" s="192">
        <v>9.2872390766462818</v>
      </c>
      <c r="H3" s="192">
        <v>31.819265452335554</v>
      </c>
      <c r="I3" s="192">
        <v>7.9584272647466587</v>
      </c>
      <c r="J3" s="192">
        <v>6.6729462728002842</v>
      </c>
      <c r="K3" s="192">
        <v>4.7519465882062626</v>
      </c>
      <c r="L3" s="193">
        <v>2367307.1301124818</v>
      </c>
      <c r="M3" s="193">
        <v>359645.80561196333</v>
      </c>
      <c r="N3" s="193">
        <v>23109.770641732586</v>
      </c>
      <c r="O3" s="194">
        <v>1.018060836501901</v>
      </c>
      <c r="P3" s="195">
        <v>1.3480000000000001</v>
      </c>
      <c r="Q3" s="167">
        <v>1.236</v>
      </c>
      <c r="R3" s="196">
        <v>0.61522699999999997</v>
      </c>
      <c r="S3" s="196">
        <v>0.42884300000000003</v>
      </c>
      <c r="T3" s="197">
        <f t="shared" si="0"/>
        <v>0.73277300000000012</v>
      </c>
      <c r="U3" s="197">
        <f t="shared" si="1"/>
        <v>0.8071569999999999</v>
      </c>
      <c r="V3" s="198">
        <v>0.184</v>
      </c>
      <c r="W3" s="199">
        <v>168.84211442153736</v>
      </c>
      <c r="X3" s="200">
        <v>10061.139694982021</v>
      </c>
      <c r="Y3" s="200">
        <v>559029.30213267915</v>
      </c>
      <c r="Z3" s="200">
        <v>223657.97896661182</v>
      </c>
    </row>
    <row r="4" spans="1:26" ht="15.75" thickBot="1" x14ac:dyDescent="0.3">
      <c r="A4" s="134" t="s">
        <v>169</v>
      </c>
      <c r="B4" s="190">
        <v>504.87</v>
      </c>
      <c r="C4" s="190">
        <v>852.43</v>
      </c>
      <c r="D4" s="191">
        <v>3.0714891504024333</v>
      </c>
      <c r="E4" s="192">
        <v>0</v>
      </c>
      <c r="F4" s="192">
        <v>0</v>
      </c>
      <c r="G4" s="192">
        <v>0</v>
      </c>
      <c r="H4" s="192">
        <v>0</v>
      </c>
      <c r="I4" s="192">
        <v>0</v>
      </c>
      <c r="J4" s="192">
        <v>0</v>
      </c>
      <c r="K4" s="192">
        <v>0</v>
      </c>
      <c r="L4" s="193">
        <v>0</v>
      </c>
      <c r="M4" s="193">
        <v>0</v>
      </c>
      <c r="N4" s="193">
        <v>0</v>
      </c>
      <c r="O4" s="194">
        <v>0.44391634980988592</v>
      </c>
      <c r="P4" s="195">
        <v>1.004</v>
      </c>
      <c r="Q4" s="167">
        <v>0.98399999999999999</v>
      </c>
      <c r="R4" s="201">
        <v>0.36302000000000001</v>
      </c>
      <c r="S4" s="201">
        <v>0.32979000000000003</v>
      </c>
      <c r="T4" s="197">
        <f t="shared" si="0"/>
        <v>0.64097999999999999</v>
      </c>
      <c r="U4" s="197">
        <f t="shared" si="1"/>
        <v>0.65420999999999996</v>
      </c>
      <c r="V4" s="198">
        <v>0.08</v>
      </c>
      <c r="W4" s="199">
        <v>204.96863515048437</v>
      </c>
      <c r="X4" s="200">
        <v>9967.6528052632821</v>
      </c>
      <c r="Y4" s="200">
        <v>98974.580671980468</v>
      </c>
      <c r="Z4" s="200">
        <v>39589.83226879219</v>
      </c>
    </row>
    <row r="5" spans="1:26" ht="15.75" thickBot="1" x14ac:dyDescent="0.3">
      <c r="A5" s="134" t="s">
        <v>170</v>
      </c>
      <c r="B5" s="190">
        <v>377.07</v>
      </c>
      <c r="C5" s="190">
        <v>653.55999999999995</v>
      </c>
      <c r="D5" s="191">
        <v>1.7509779821272935</v>
      </c>
      <c r="E5" s="192">
        <v>0</v>
      </c>
      <c r="F5" s="192">
        <v>0</v>
      </c>
      <c r="G5" s="192">
        <v>0</v>
      </c>
      <c r="H5" s="192">
        <v>0</v>
      </c>
      <c r="I5" s="192">
        <v>0</v>
      </c>
      <c r="J5" s="192">
        <v>0</v>
      </c>
      <c r="K5" s="192">
        <v>0</v>
      </c>
      <c r="L5" s="193">
        <v>0</v>
      </c>
      <c r="M5" s="193">
        <v>0</v>
      </c>
      <c r="N5" s="193">
        <v>0</v>
      </c>
      <c r="O5" s="194">
        <v>0.62167300380228141</v>
      </c>
      <c r="P5" s="167">
        <v>1.1990000000000001</v>
      </c>
      <c r="Q5" s="167">
        <v>1.1140000000000001</v>
      </c>
      <c r="R5" s="196">
        <v>0.50507000000000002</v>
      </c>
      <c r="S5" s="196">
        <v>0.40038999999999997</v>
      </c>
      <c r="T5" s="197">
        <f t="shared" si="0"/>
        <v>0.69393000000000005</v>
      </c>
      <c r="U5" s="197">
        <f t="shared" si="1"/>
        <v>0.71361000000000008</v>
      </c>
      <c r="V5" s="198">
        <v>0.1</v>
      </c>
      <c r="W5" s="199">
        <v>164.35439164953638</v>
      </c>
      <c r="X5" s="200">
        <v>0</v>
      </c>
      <c r="Y5" s="200">
        <v>0</v>
      </c>
      <c r="Z5" s="200">
        <v>0</v>
      </c>
    </row>
    <row r="6" spans="1:26" ht="15.75" thickBot="1" x14ac:dyDescent="0.3">
      <c r="A6" s="134" t="s">
        <v>41</v>
      </c>
      <c r="B6" s="190">
        <v>168.58</v>
      </c>
      <c r="C6" s="190">
        <v>294.8</v>
      </c>
      <c r="D6" s="191">
        <v>1.294674233535912</v>
      </c>
      <c r="E6" s="192">
        <v>27.291732842937023</v>
      </c>
      <c r="F6" s="192">
        <v>10.266766671939783</v>
      </c>
      <c r="G6" s="192">
        <v>8.6095836530138161</v>
      </c>
      <c r="H6" s="192">
        <v>21.905888031427633</v>
      </c>
      <c r="I6" s="192">
        <v>7.3796431311546993</v>
      </c>
      <c r="J6" s="192">
        <v>6.1885428363016599</v>
      </c>
      <c r="K6" s="192">
        <v>3.5344606575530397</v>
      </c>
      <c r="L6" s="193">
        <v>911450.66040928208</v>
      </c>
      <c r="M6" s="193">
        <v>120275.23629548623</v>
      </c>
      <c r="N6" s="193">
        <v>8803.7847880442023</v>
      </c>
      <c r="O6" s="194">
        <v>0.83079847908745252</v>
      </c>
      <c r="P6" s="167">
        <v>1.111</v>
      </c>
      <c r="Q6" s="167">
        <v>1.099</v>
      </c>
      <c r="R6" s="196">
        <v>0.47899999999999998</v>
      </c>
      <c r="S6" s="196">
        <v>0.45</v>
      </c>
      <c r="T6" s="197">
        <f t="shared" si="0"/>
        <v>0.63200000000000001</v>
      </c>
      <c r="U6" s="197">
        <f t="shared" si="1"/>
        <v>0.64900000000000002</v>
      </c>
      <c r="V6" s="198">
        <v>0.14599999999999999</v>
      </c>
      <c r="W6" s="199">
        <v>141.16708951972328</v>
      </c>
      <c r="X6" s="200">
        <v>0</v>
      </c>
      <c r="Y6" s="200">
        <v>0</v>
      </c>
      <c r="Z6" s="200">
        <v>0</v>
      </c>
    </row>
    <row r="7" spans="1:26" ht="15.75" thickBot="1" x14ac:dyDescent="0.3">
      <c r="A7" s="134" t="s">
        <v>42</v>
      </c>
      <c r="B7" s="190">
        <v>341.94</v>
      </c>
      <c r="C7" s="190">
        <v>592.30999999999995</v>
      </c>
      <c r="D7" s="191">
        <v>1.7790303147334201</v>
      </c>
      <c r="E7" s="192">
        <v>25.386762591245905</v>
      </c>
      <c r="F7" s="192">
        <v>10.229424309717166</v>
      </c>
      <c r="G7" s="192">
        <v>8.5749261170150852</v>
      </c>
      <c r="H7" s="192">
        <v>20.36989710369766</v>
      </c>
      <c r="I7" s="192">
        <v>7.347395199849025</v>
      </c>
      <c r="J7" s="192">
        <v>6.1554448889776339</v>
      </c>
      <c r="K7" s="192">
        <v>3.6648024483508457</v>
      </c>
      <c r="L7" s="193">
        <v>880620.00579304295</v>
      </c>
      <c r="M7" s="193">
        <v>119372.93411861249</v>
      </c>
      <c r="N7" s="193">
        <v>8539.3455107204172</v>
      </c>
      <c r="O7" s="194">
        <v>0.60171102661596954</v>
      </c>
      <c r="P7" s="167">
        <v>1.0469999999999999</v>
      </c>
      <c r="Q7" s="167">
        <v>0.95799999999999996</v>
      </c>
      <c r="R7" s="196">
        <v>0.46688000000000002</v>
      </c>
      <c r="S7" s="196">
        <v>0.39815</v>
      </c>
      <c r="T7" s="197">
        <f t="shared" si="0"/>
        <v>0.58011999999999997</v>
      </c>
      <c r="U7" s="197">
        <f t="shared" si="1"/>
        <v>0.55984999999999996</v>
      </c>
      <c r="V7" s="198">
        <v>0.106</v>
      </c>
      <c r="W7" s="199">
        <v>177.88061141577603</v>
      </c>
      <c r="X7" s="200">
        <v>12914.619732926203</v>
      </c>
      <c r="Y7" s="200">
        <v>433005.26915867667</v>
      </c>
      <c r="Z7" s="200">
        <v>173250.8420775572</v>
      </c>
    </row>
    <row r="8" spans="1:26" ht="15.75" thickBot="1" x14ac:dyDescent="0.3">
      <c r="A8" s="134" t="s">
        <v>43</v>
      </c>
      <c r="B8" s="190">
        <v>281.39</v>
      </c>
      <c r="C8" s="190">
        <v>503.38</v>
      </c>
      <c r="D8" s="191">
        <v>1.3077620781916972</v>
      </c>
      <c r="E8" s="192">
        <v>28.169195164249157</v>
      </c>
      <c r="F8" s="192">
        <v>11.089822423065593</v>
      </c>
      <c r="G8" s="192">
        <v>9.2981883759429671</v>
      </c>
      <c r="H8" s="192">
        <v>33.099458199031858</v>
      </c>
      <c r="I8" s="192">
        <v>7.9642710561874361</v>
      </c>
      <c r="J8" s="192">
        <v>6.6826642195595731</v>
      </c>
      <c r="K8" s="192">
        <v>4.7471763438358607</v>
      </c>
      <c r="L8" s="193">
        <v>2877076.572021734</v>
      </c>
      <c r="M8" s="193">
        <v>356103.61389159918</v>
      </c>
      <c r="N8" s="193">
        <v>27855.33226548315</v>
      </c>
      <c r="O8" s="194">
        <v>1.3003802281368821</v>
      </c>
      <c r="P8" s="167">
        <v>1.476</v>
      </c>
      <c r="Q8" s="167">
        <v>1.264</v>
      </c>
      <c r="R8" s="196">
        <v>0.6079</v>
      </c>
      <c r="S8" s="196">
        <v>0.41376999999999997</v>
      </c>
      <c r="T8" s="197">
        <f t="shared" si="0"/>
        <v>0.86809999999999998</v>
      </c>
      <c r="U8" s="197">
        <f t="shared" si="1"/>
        <v>0.85023000000000004</v>
      </c>
      <c r="V8" s="198">
        <v>9.4E-2</v>
      </c>
      <c r="W8" s="199">
        <v>158.01982493304817</v>
      </c>
      <c r="X8" s="200">
        <v>5736.3361105832555</v>
      </c>
      <c r="Y8" s="200">
        <v>472327.75069028919</v>
      </c>
      <c r="Z8" s="200">
        <v>188866.16062203361</v>
      </c>
    </row>
    <row r="9" spans="1:26" ht="15.75" thickBot="1" x14ac:dyDescent="0.3">
      <c r="A9" s="134" t="s">
        <v>44</v>
      </c>
      <c r="B9" s="190">
        <v>457.84</v>
      </c>
      <c r="C9" s="190">
        <v>720.61</v>
      </c>
      <c r="D9" s="191">
        <v>2.6709590193064012</v>
      </c>
      <c r="E9" s="192">
        <v>34.241694627508068</v>
      </c>
      <c r="F9" s="192">
        <v>13.328085506338942</v>
      </c>
      <c r="G9" s="192">
        <v>11.164608700700756</v>
      </c>
      <c r="H9" s="192">
        <v>27.510877898855934</v>
      </c>
      <c r="I9" s="192">
        <v>9.5620332891169166</v>
      </c>
      <c r="J9" s="192">
        <v>8.0395866481122678</v>
      </c>
      <c r="K9" s="192">
        <v>5.0748221366821618</v>
      </c>
      <c r="L9" s="193">
        <v>940177.57479585323</v>
      </c>
      <c r="M9" s="193">
        <v>124199.59439774766</v>
      </c>
      <c r="N9" s="193">
        <v>9081.2606656417647</v>
      </c>
      <c r="O9" s="194">
        <v>0.71482889733840305</v>
      </c>
      <c r="P9" s="167">
        <v>1.0669999999999999</v>
      </c>
      <c r="Q9" s="167">
        <v>1.0589999999999999</v>
      </c>
      <c r="R9" s="196">
        <v>0.42276999999999998</v>
      </c>
      <c r="S9" s="196">
        <v>0.39291999999999999</v>
      </c>
      <c r="T9" s="197">
        <f t="shared" si="0"/>
        <v>0.64422999999999997</v>
      </c>
      <c r="U9" s="197">
        <f t="shared" si="1"/>
        <v>0.66608000000000001</v>
      </c>
      <c r="V9" s="198">
        <v>9.5000000000000001E-2</v>
      </c>
      <c r="W9" s="199">
        <v>190.71329707799634</v>
      </c>
      <c r="X9" s="200">
        <v>3657.5152864273273</v>
      </c>
      <c r="Y9" s="200">
        <v>341847.05373501126</v>
      </c>
      <c r="Z9" s="200">
        <v>136764.94660319327</v>
      </c>
    </row>
    <row r="10" spans="1:26" ht="15.75" thickBot="1" x14ac:dyDescent="0.3">
      <c r="A10" s="134" t="s">
        <v>45</v>
      </c>
      <c r="B10" s="190">
        <v>307.51</v>
      </c>
      <c r="C10" s="190">
        <v>487.22</v>
      </c>
      <c r="D10" s="191">
        <v>1.3865742011630919</v>
      </c>
      <c r="E10" s="192">
        <v>39.032063762741039</v>
      </c>
      <c r="F10" s="192">
        <v>10.510232444816237</v>
      </c>
      <c r="G10" s="192">
        <v>8.8186119193972647</v>
      </c>
      <c r="H10" s="192">
        <v>31.322711204274245</v>
      </c>
      <c r="I10" s="192">
        <v>7.5568293963388511</v>
      </c>
      <c r="J10" s="192">
        <v>6.3366440993153308</v>
      </c>
      <c r="K10" s="192">
        <v>4.6311578318847273</v>
      </c>
      <c r="L10" s="193">
        <v>2409865.961621454</v>
      </c>
      <c r="M10" s="193">
        <v>319744.01078820898</v>
      </c>
      <c r="N10" s="193">
        <v>23987.733680121491</v>
      </c>
      <c r="O10" s="194">
        <v>1.1378326996197718</v>
      </c>
      <c r="P10" s="167">
        <v>1.3939999999999999</v>
      </c>
      <c r="Q10" s="167">
        <v>1.2</v>
      </c>
      <c r="R10" s="196">
        <v>0.68129999999999991</v>
      </c>
      <c r="S10" s="196">
        <v>0.50609999999999999</v>
      </c>
      <c r="T10" s="197">
        <f t="shared" si="0"/>
        <v>0.7127</v>
      </c>
      <c r="U10" s="197">
        <f t="shared" si="1"/>
        <v>0.69389999999999996</v>
      </c>
      <c r="V10" s="198">
        <v>0.10100000000000001</v>
      </c>
      <c r="W10" s="199">
        <v>158.62710762947953</v>
      </c>
      <c r="X10" s="200">
        <v>2824.8663002510052</v>
      </c>
      <c r="Y10" s="200">
        <v>470014.29288022494</v>
      </c>
      <c r="Z10" s="200">
        <v>187962.25767054767</v>
      </c>
    </row>
    <row r="11" spans="1:26" ht="15.75" thickBot="1" x14ac:dyDescent="0.3">
      <c r="A11" s="134" t="s">
        <v>46</v>
      </c>
      <c r="B11" s="190">
        <v>284.75</v>
      </c>
      <c r="C11" s="190">
        <v>418.63</v>
      </c>
      <c r="D11" s="191">
        <v>1.3308820991572989</v>
      </c>
      <c r="E11" s="192">
        <v>36.865434146657179</v>
      </c>
      <c r="F11" s="192">
        <v>14.573158985772423</v>
      </c>
      <c r="G11" s="192">
        <v>12.217497670264004</v>
      </c>
      <c r="H11" s="192">
        <v>29.585509064266756</v>
      </c>
      <c r="I11" s="192">
        <v>10.474042120367942</v>
      </c>
      <c r="J11" s="192">
        <v>8.7838218544381732</v>
      </c>
      <c r="K11" s="192">
        <v>4.4185285692022322</v>
      </c>
      <c r="L11" s="193">
        <v>2152036.3543373523</v>
      </c>
      <c r="M11" s="193">
        <v>300513.1779897181</v>
      </c>
      <c r="N11" s="193">
        <v>22624.995685674083</v>
      </c>
      <c r="O11" s="194">
        <v>1.0019011406844107</v>
      </c>
      <c r="P11" s="167">
        <v>1.2829999999999999</v>
      </c>
      <c r="Q11" s="167">
        <v>1.117</v>
      </c>
      <c r="R11" s="196">
        <v>0.62409999999999999</v>
      </c>
      <c r="S11" s="196">
        <v>0.46820000000000001</v>
      </c>
      <c r="T11" s="197">
        <f t="shared" si="0"/>
        <v>0.65889999999999993</v>
      </c>
      <c r="U11" s="197">
        <f t="shared" si="1"/>
        <v>0.64880000000000004</v>
      </c>
      <c r="V11" s="198">
        <v>0.111</v>
      </c>
      <c r="W11" s="199">
        <v>161.66079023598448</v>
      </c>
      <c r="X11" s="200">
        <v>11626.289708752309</v>
      </c>
      <c r="Y11" s="200">
        <v>485646.73011988215</v>
      </c>
      <c r="Z11" s="200">
        <v>194325.12798914575</v>
      </c>
    </row>
    <row r="12" spans="1:26" ht="15.75" thickBot="1" x14ac:dyDescent="0.3">
      <c r="A12" s="134" t="s">
        <v>47</v>
      </c>
      <c r="B12" s="190">
        <v>264.97000000000003</v>
      </c>
      <c r="C12" s="190">
        <v>483.24</v>
      </c>
      <c r="D12" s="191">
        <v>1.4504428255719493</v>
      </c>
      <c r="E12" s="192">
        <v>40.409337120434508</v>
      </c>
      <c r="F12" s="192">
        <v>11.661560317598472</v>
      </c>
      <c r="G12" s="192">
        <v>9.7759846443549385</v>
      </c>
      <c r="H12" s="192">
        <v>32.417397151533066</v>
      </c>
      <c r="I12" s="192">
        <v>8.3835595318058669</v>
      </c>
      <c r="J12" s="192">
        <v>7.0346477040239535</v>
      </c>
      <c r="K12" s="192">
        <v>4.8444790374103102</v>
      </c>
      <c r="L12" s="193">
        <v>2409185.5332750077</v>
      </c>
      <c r="M12" s="193">
        <v>332731.58418620517</v>
      </c>
      <c r="N12" s="193">
        <v>26978.236555638257</v>
      </c>
      <c r="O12" s="194">
        <v>0.9486692015209125</v>
      </c>
      <c r="P12" s="167">
        <v>1.3089999999999999</v>
      </c>
      <c r="Q12" s="167">
        <v>1.109</v>
      </c>
      <c r="R12" s="202">
        <v>0.65449999999999997</v>
      </c>
      <c r="S12" s="196">
        <v>0.47039999999999998</v>
      </c>
      <c r="T12" s="197">
        <f t="shared" si="0"/>
        <v>0.65449999999999997</v>
      </c>
      <c r="U12" s="197">
        <f t="shared" si="1"/>
        <v>0.63860000000000006</v>
      </c>
      <c r="V12" s="198">
        <v>0.14299999999999999</v>
      </c>
      <c r="W12" s="199">
        <v>176.51358619872929</v>
      </c>
      <c r="X12" s="200">
        <v>15354.264004957959</v>
      </c>
      <c r="Y12" s="200">
        <v>520231.48041995353</v>
      </c>
      <c r="Z12" s="200">
        <v>208068.41222466651</v>
      </c>
    </row>
    <row r="13" spans="1:26" ht="15.75" thickBot="1" x14ac:dyDescent="0.3">
      <c r="A13" s="134" t="s">
        <v>48</v>
      </c>
      <c r="B13" s="190">
        <v>238.55</v>
      </c>
      <c r="C13" s="190">
        <v>412.8</v>
      </c>
      <c r="D13" s="191">
        <v>1.2728921718119515</v>
      </c>
      <c r="E13" s="192">
        <v>24.7195659765881</v>
      </c>
      <c r="F13" s="192">
        <v>8.8211427506568238</v>
      </c>
      <c r="G13" s="192">
        <v>7.4082324399455581</v>
      </c>
      <c r="H13" s="192">
        <v>19.844388958548322</v>
      </c>
      <c r="I13" s="192">
        <v>6.3390030156235184</v>
      </c>
      <c r="J13" s="192">
        <v>5.3206892781739565</v>
      </c>
      <c r="K13" s="192">
        <v>3.245875038120476</v>
      </c>
      <c r="L13" s="193">
        <v>1064137.8556347913</v>
      </c>
      <c r="M13" s="193">
        <v>139381.69281340868</v>
      </c>
      <c r="N13" s="193">
        <v>10692.294243220393</v>
      </c>
      <c r="O13" s="194">
        <v>0.7927756653992396</v>
      </c>
      <c r="P13" s="167">
        <v>1.379</v>
      </c>
      <c r="Q13" s="167">
        <v>1.1579999999999999</v>
      </c>
      <c r="R13" s="196">
        <v>0.67</v>
      </c>
      <c r="S13" s="196">
        <v>0.33</v>
      </c>
      <c r="T13" s="197">
        <f t="shared" si="0"/>
        <v>0.70899999999999996</v>
      </c>
      <c r="U13" s="197">
        <f t="shared" si="1"/>
        <v>0.82799999999999985</v>
      </c>
      <c r="V13" s="198">
        <v>0.123</v>
      </c>
      <c r="W13" s="199">
        <v>122.34912638266476</v>
      </c>
      <c r="X13" s="200">
        <v>2262.6208303643484</v>
      </c>
      <c r="Y13" s="200">
        <v>283749.41228198831</v>
      </c>
      <c r="Z13" s="200">
        <v>113466.24460419733</v>
      </c>
    </row>
    <row r="14" spans="1:26" ht="15.75" thickBot="1" x14ac:dyDescent="0.3">
      <c r="A14" s="134" t="s">
        <v>49</v>
      </c>
      <c r="B14" s="190">
        <v>528.19000000000005</v>
      </c>
      <c r="C14" s="190">
        <v>831.99</v>
      </c>
      <c r="D14" s="191">
        <v>2.3333720687692558</v>
      </c>
      <c r="E14" s="192">
        <v>31.547190369760337</v>
      </c>
      <c r="F14" s="192">
        <v>11.783528947284742</v>
      </c>
      <c r="G14" s="192">
        <v>9.8701638508939524</v>
      </c>
      <c r="H14" s="192">
        <v>25.317086946146425</v>
      </c>
      <c r="I14" s="192">
        <v>8.4701406096323986</v>
      </c>
      <c r="J14" s="192">
        <v>7.0934510890585383</v>
      </c>
      <c r="K14" s="192">
        <v>4.643410416850819</v>
      </c>
      <c r="L14" s="193">
        <v>1026683.7102584726</v>
      </c>
      <c r="M14" s="193">
        <v>137668.95205738611</v>
      </c>
      <c r="N14" s="193">
        <v>10033.499895707801</v>
      </c>
      <c r="O14" s="194">
        <v>0.54372623574144485</v>
      </c>
      <c r="P14" s="167">
        <v>1.0760000000000001</v>
      </c>
      <c r="Q14" s="167">
        <v>1.077</v>
      </c>
      <c r="R14" s="201">
        <v>0.39739999999999998</v>
      </c>
      <c r="S14" s="201">
        <v>0.36595</v>
      </c>
      <c r="T14" s="197">
        <f t="shared" si="0"/>
        <v>0.67860000000000009</v>
      </c>
      <c r="U14" s="197">
        <f t="shared" si="1"/>
        <v>0.71104999999999996</v>
      </c>
      <c r="V14" s="198">
        <v>0.09</v>
      </c>
      <c r="W14" s="199">
        <v>198.71133605236932</v>
      </c>
      <c r="X14" s="200">
        <v>16876.853198968354</v>
      </c>
      <c r="Y14" s="200">
        <v>393203.45880499657</v>
      </c>
      <c r="Z14" s="200">
        <v>157335.8249839308</v>
      </c>
    </row>
    <row r="15" spans="1:26" ht="15.75" thickBot="1" x14ac:dyDescent="0.3">
      <c r="A15" s="134" t="s">
        <v>171</v>
      </c>
      <c r="B15" s="190">
        <v>177.28</v>
      </c>
      <c r="C15" s="190">
        <v>299.69</v>
      </c>
      <c r="D15" s="191">
        <v>2.4272429122435963</v>
      </c>
      <c r="E15" s="192">
        <v>0</v>
      </c>
      <c r="F15" s="192">
        <v>0</v>
      </c>
      <c r="G15" s="192">
        <v>0</v>
      </c>
      <c r="H15" s="192">
        <v>0</v>
      </c>
      <c r="I15" s="192">
        <v>0</v>
      </c>
      <c r="J15" s="192">
        <v>0</v>
      </c>
      <c r="K15" s="192">
        <v>0</v>
      </c>
      <c r="L15" s="193">
        <v>0</v>
      </c>
      <c r="M15" s="193">
        <v>0</v>
      </c>
      <c r="N15" s="193">
        <v>0</v>
      </c>
      <c r="O15" s="194">
        <v>1.188212927756654</v>
      </c>
      <c r="P15" s="167">
        <v>1.5</v>
      </c>
      <c r="Q15" s="167">
        <v>1.415</v>
      </c>
      <c r="R15" s="196">
        <v>0.85769999999999991</v>
      </c>
      <c r="S15" s="196">
        <v>0.78872100000000001</v>
      </c>
      <c r="T15" s="197">
        <f t="shared" si="0"/>
        <v>0.64230000000000009</v>
      </c>
      <c r="U15" s="197">
        <f t="shared" si="1"/>
        <v>0.62627900000000003</v>
      </c>
      <c r="V15" s="198">
        <v>0.1</v>
      </c>
      <c r="W15" s="199">
        <v>239.05863790698729</v>
      </c>
      <c r="X15" s="200">
        <v>0</v>
      </c>
      <c r="Y15" s="200">
        <v>0</v>
      </c>
      <c r="Z15" s="200">
        <v>0</v>
      </c>
    </row>
    <row r="16" spans="1:26" ht="15.75" thickBot="1" x14ac:dyDescent="0.3">
      <c r="A16" s="134" t="s">
        <v>50</v>
      </c>
      <c r="B16" s="190">
        <v>199.09</v>
      </c>
      <c r="C16" s="190">
        <v>336.93</v>
      </c>
      <c r="D16" s="191">
        <v>1.5598654952608837</v>
      </c>
      <c r="E16" s="192">
        <v>46.593182343442599</v>
      </c>
      <c r="F16" s="192">
        <v>13.087271505238816</v>
      </c>
      <c r="G16" s="192">
        <v>10.981453086636622</v>
      </c>
      <c r="H16" s="192">
        <v>37.389975921403384</v>
      </c>
      <c r="I16" s="192">
        <v>9.4059889364231299</v>
      </c>
      <c r="J16" s="192">
        <v>7.8929194060200709</v>
      </c>
      <c r="K16" s="192">
        <v>5.4283319235078755</v>
      </c>
      <c r="L16" s="193">
        <v>3328752.9668867257</v>
      </c>
      <c r="M16" s="193">
        <v>421319.67026996467</v>
      </c>
      <c r="N16" s="193">
        <v>32289.215751900294</v>
      </c>
      <c r="O16" s="194">
        <v>1.1644486692015208</v>
      </c>
      <c r="P16" s="167">
        <v>1.2989999999999999</v>
      </c>
      <c r="Q16" s="167">
        <v>1.159</v>
      </c>
      <c r="R16" s="196">
        <v>0.58771000000000007</v>
      </c>
      <c r="S16" s="196">
        <v>0.47902</v>
      </c>
      <c r="T16" s="197">
        <f t="shared" si="0"/>
        <v>0.71128999999999987</v>
      </c>
      <c r="U16" s="197">
        <f t="shared" si="1"/>
        <v>0.67998000000000003</v>
      </c>
      <c r="V16" s="198">
        <v>0.19900000000000001</v>
      </c>
      <c r="W16" s="199">
        <v>157.17757083059971</v>
      </c>
      <c r="X16" s="200">
        <v>4736.8582990043742</v>
      </c>
      <c r="Y16" s="200">
        <v>578327.33596026129</v>
      </c>
      <c r="Z16" s="200">
        <v>231352.46555819092</v>
      </c>
    </row>
    <row r="17" spans="1:26" ht="15.75" thickBot="1" x14ac:dyDescent="0.3">
      <c r="A17" s="134" t="s">
        <v>51</v>
      </c>
      <c r="B17" s="190">
        <v>199.64</v>
      </c>
      <c r="C17" s="190">
        <v>374.87</v>
      </c>
      <c r="D17" s="191">
        <v>1.2039601366449961</v>
      </c>
      <c r="E17" s="192">
        <v>30.857498302211251</v>
      </c>
      <c r="F17" s="192">
        <v>12.232234988313161</v>
      </c>
      <c r="G17" s="192">
        <v>10.257740364215367</v>
      </c>
      <c r="H17" s="192">
        <v>24.765460010787571</v>
      </c>
      <c r="I17" s="192">
        <v>8.8009485988749212</v>
      </c>
      <c r="J17" s="192">
        <v>7.3682360362673762</v>
      </c>
      <c r="K17" s="192">
        <v>3.780434829065288</v>
      </c>
      <c r="L17" s="193">
        <v>1721662.9954023445</v>
      </c>
      <c r="M17" s="193">
        <v>221167.4771016858</v>
      </c>
      <c r="N17" s="193">
        <v>16975.837926694447</v>
      </c>
      <c r="O17" s="194">
        <v>0.95912547528517111</v>
      </c>
      <c r="P17" s="167">
        <v>1.47</v>
      </c>
      <c r="Q17" s="167">
        <v>1.3140000000000001</v>
      </c>
      <c r="R17" s="196">
        <v>0.72839999999999994</v>
      </c>
      <c r="S17" s="196">
        <v>0.61739999999999995</v>
      </c>
      <c r="T17" s="197">
        <f t="shared" si="0"/>
        <v>0.74160000000000004</v>
      </c>
      <c r="U17" s="197">
        <f t="shared" si="1"/>
        <v>0.69660000000000011</v>
      </c>
      <c r="V17" s="198">
        <v>0.14799999999999999</v>
      </c>
      <c r="W17" s="199">
        <v>147.17311096130732</v>
      </c>
      <c r="X17" s="200">
        <v>9576.3325625508187</v>
      </c>
      <c r="Y17" s="200">
        <v>400593.11161659949</v>
      </c>
      <c r="Z17" s="200">
        <v>160277.56604690317</v>
      </c>
    </row>
    <row r="18" spans="1:26" ht="15.75" thickBot="1" x14ac:dyDescent="0.3">
      <c r="A18" s="134" t="s">
        <v>52</v>
      </c>
      <c r="B18" s="190">
        <v>575.19000000000005</v>
      </c>
      <c r="C18" s="190">
        <v>909.82</v>
      </c>
      <c r="D18" s="191">
        <v>3.3793315123902747</v>
      </c>
      <c r="E18" s="192">
        <v>39.639558640337924</v>
      </c>
      <c r="F18" s="192">
        <v>15.375958381375749</v>
      </c>
      <c r="G18" s="192">
        <v>12.909046377330849</v>
      </c>
      <c r="H18" s="192">
        <v>31.799509531592484</v>
      </c>
      <c r="I18" s="192">
        <v>11.050414045516199</v>
      </c>
      <c r="J18" s="192">
        <v>9.2593683439493528</v>
      </c>
      <c r="K18" s="192">
        <v>6.0152100920546889</v>
      </c>
      <c r="L18" s="193">
        <v>929316.16590732557</v>
      </c>
      <c r="M18" s="193">
        <v>124021.46650472308</v>
      </c>
      <c r="N18" s="193">
        <v>9124.195083453742</v>
      </c>
      <c r="O18" s="194">
        <v>0.65779467680608361</v>
      </c>
      <c r="P18" s="167">
        <v>1.044</v>
      </c>
      <c r="Q18" s="167">
        <v>0.95399999999999996</v>
      </c>
      <c r="R18" s="196">
        <v>0.41120999999999996</v>
      </c>
      <c r="S18" s="196">
        <v>0.33294999999999997</v>
      </c>
      <c r="T18" s="197">
        <f t="shared" si="0"/>
        <v>0.63279000000000007</v>
      </c>
      <c r="U18" s="197">
        <f t="shared" si="1"/>
        <v>0.62104999999999999</v>
      </c>
      <c r="V18" s="198">
        <v>0.11</v>
      </c>
      <c r="W18" s="199">
        <v>193.78892777921922</v>
      </c>
      <c r="X18" s="200">
        <v>5309.2856925813485</v>
      </c>
      <c r="Y18" s="200">
        <v>325591.94509755122</v>
      </c>
      <c r="Z18" s="200">
        <v>130210.23161055757</v>
      </c>
    </row>
    <row r="19" spans="1:26" ht="15.75" thickBot="1" x14ac:dyDescent="0.3">
      <c r="A19" s="134" t="s">
        <v>53</v>
      </c>
      <c r="B19" s="190">
        <v>583.1</v>
      </c>
      <c r="C19" s="190">
        <v>870.85</v>
      </c>
      <c r="D19" s="191">
        <v>2.9331364204270156</v>
      </c>
      <c r="E19" s="192">
        <v>33.965719748544842</v>
      </c>
      <c r="F19" s="192">
        <v>12.993794342491679</v>
      </c>
      <c r="G19" s="192">
        <v>10.911267483988498</v>
      </c>
      <c r="H19" s="192">
        <v>27.248837345766972</v>
      </c>
      <c r="I19" s="192">
        <v>9.3567051811621802</v>
      </c>
      <c r="J19" s="192">
        <v>7.8314742425401311</v>
      </c>
      <c r="K19" s="192">
        <v>5.1623200999515477</v>
      </c>
      <c r="L19" s="193">
        <v>806612.51561742928</v>
      </c>
      <c r="M19" s="193">
        <v>111459.18397622659</v>
      </c>
      <c r="N19" s="193">
        <v>7919.468335152942</v>
      </c>
      <c r="O19" s="194">
        <v>0.5960076045627376</v>
      </c>
      <c r="P19" s="167">
        <v>1.05</v>
      </c>
      <c r="Q19" s="167">
        <v>0.94699999999999995</v>
      </c>
      <c r="R19" s="196">
        <v>0.43442999999999998</v>
      </c>
      <c r="S19" s="196">
        <v>0.33017000000000002</v>
      </c>
      <c r="T19" s="197">
        <f t="shared" si="0"/>
        <v>0.61557000000000006</v>
      </c>
      <c r="U19" s="197">
        <f t="shared" si="1"/>
        <v>0.61682999999999999</v>
      </c>
      <c r="V19" s="198">
        <v>8.5999999999999993E-2</v>
      </c>
      <c r="W19" s="199">
        <v>217.87114280925684</v>
      </c>
      <c r="X19" s="200">
        <v>8356.7013680262899</v>
      </c>
      <c r="Y19" s="200">
        <v>397390.99541167874</v>
      </c>
      <c r="Z19" s="200">
        <v>158926.55280264284</v>
      </c>
    </row>
    <row r="20" spans="1:26" ht="20.45" customHeight="1" thickBot="1" x14ac:dyDescent="0.3">
      <c r="A20" s="134" t="s">
        <v>54</v>
      </c>
      <c r="B20" s="190">
        <v>211.56</v>
      </c>
      <c r="C20" s="190">
        <v>354.31</v>
      </c>
      <c r="D20" s="191">
        <v>1.5936231462741555</v>
      </c>
      <c r="E20" s="192">
        <v>60.589552021343394</v>
      </c>
      <c r="F20" s="192">
        <v>18.980051672125192</v>
      </c>
      <c r="G20" s="192">
        <v>15.920295231278814</v>
      </c>
      <c r="H20" s="192">
        <v>48.621442192824489</v>
      </c>
      <c r="I20" s="192">
        <v>13.705159057957736</v>
      </c>
      <c r="J20" s="192">
        <v>11.442214190248436</v>
      </c>
      <c r="K20" s="192">
        <v>6.5975998255750028</v>
      </c>
      <c r="L20" s="193">
        <v>3716329.1771113304</v>
      </c>
      <c r="M20" s="193">
        <v>579600.73829991033</v>
      </c>
      <c r="N20" s="193">
        <v>34900.346903404003</v>
      </c>
      <c r="O20" s="194">
        <v>1.1330798479087452</v>
      </c>
      <c r="P20" s="167">
        <v>1.1040000000000001</v>
      </c>
      <c r="Q20" s="167">
        <v>0.94099999999999995</v>
      </c>
      <c r="R20" s="196">
        <v>0.46209</v>
      </c>
      <c r="S20" s="196">
        <v>0.33500000000000002</v>
      </c>
      <c r="T20" s="197">
        <f t="shared" si="0"/>
        <v>0.64191000000000009</v>
      </c>
      <c r="U20" s="197">
        <f t="shared" si="1"/>
        <v>0.60599999999999987</v>
      </c>
      <c r="V20" s="198">
        <v>0.13300000000000001</v>
      </c>
      <c r="W20" s="199">
        <v>165.33131270128149</v>
      </c>
      <c r="X20" s="200">
        <v>14381.559392508732</v>
      </c>
      <c r="Y20" s="200">
        <v>993233.52308420546</v>
      </c>
      <c r="Z20" s="200">
        <v>397248.11298362707</v>
      </c>
    </row>
    <row r="21" spans="1:26" ht="15.75" thickBot="1" x14ac:dyDescent="0.3">
      <c r="A21" s="134" t="s">
        <v>55</v>
      </c>
      <c r="B21" s="190">
        <v>215.35</v>
      </c>
      <c r="C21" s="190">
        <v>387.08</v>
      </c>
      <c r="D21" s="191">
        <v>1.5730137187421218</v>
      </c>
      <c r="E21" s="192">
        <v>29.32097571735315</v>
      </c>
      <c r="F21" s="192">
        <v>10.271779583386056</v>
      </c>
      <c r="G21" s="192">
        <v>8.6043850415194054</v>
      </c>
      <c r="H21" s="192">
        <v>23.532285232382144</v>
      </c>
      <c r="I21" s="192">
        <v>7.3774343409005523</v>
      </c>
      <c r="J21" s="192">
        <v>6.1819439146565394</v>
      </c>
      <c r="K21" s="192">
        <v>3.9639945712301472</v>
      </c>
      <c r="L21" s="193">
        <v>1574586.7324608639</v>
      </c>
      <c r="M21" s="193">
        <v>201031.15325524317</v>
      </c>
      <c r="N21" s="193">
        <v>14943.630328050158</v>
      </c>
      <c r="O21" s="194">
        <v>0.76520912547528519</v>
      </c>
      <c r="P21" s="167">
        <v>1.28</v>
      </c>
      <c r="Q21" s="167">
        <v>1.1599999999999999</v>
      </c>
      <c r="R21" s="196">
        <v>0.51937999999999995</v>
      </c>
      <c r="S21" s="196">
        <v>0.44239999999999996</v>
      </c>
      <c r="T21" s="197">
        <f t="shared" si="0"/>
        <v>0.76062000000000007</v>
      </c>
      <c r="U21" s="197">
        <f t="shared" si="1"/>
        <v>0.71760000000000002</v>
      </c>
      <c r="V21" s="198">
        <v>0.121</v>
      </c>
      <c r="W21" s="199">
        <v>184.65441281453027</v>
      </c>
      <c r="X21" s="200">
        <v>0</v>
      </c>
      <c r="Y21" s="200">
        <v>0</v>
      </c>
      <c r="Z21" s="200">
        <v>0</v>
      </c>
    </row>
    <row r="22" spans="1:26" ht="15.75" thickBot="1" x14ac:dyDescent="0.3">
      <c r="A22" s="134" t="s">
        <v>56</v>
      </c>
      <c r="B22" s="190">
        <v>232.42</v>
      </c>
      <c r="C22" s="190">
        <v>403.05</v>
      </c>
      <c r="D22" s="191">
        <v>1.3902660085281271</v>
      </c>
      <c r="E22" s="192">
        <v>38.927448238787562</v>
      </c>
      <c r="F22" s="192">
        <v>10.802366886263547</v>
      </c>
      <c r="G22" s="192">
        <v>7.8132949679280745</v>
      </c>
      <c r="H22" s="192">
        <v>31.239277211627016</v>
      </c>
      <c r="I22" s="192">
        <v>7.7715869876722303</v>
      </c>
      <c r="J22" s="192">
        <v>6.5064449199116341</v>
      </c>
      <c r="K22" s="192">
        <v>4.657391128569226</v>
      </c>
      <c r="L22" s="193">
        <v>2477454.0271971226</v>
      </c>
      <c r="M22" s="193">
        <v>328936.93761775485</v>
      </c>
      <c r="N22" s="193">
        <v>26415.054162034416</v>
      </c>
      <c r="O22" s="194">
        <v>1.0370722433460076</v>
      </c>
      <c r="P22" s="167">
        <v>1.591</v>
      </c>
      <c r="Q22" s="167">
        <v>1.24</v>
      </c>
      <c r="R22" s="196">
        <v>0.76607000000000003</v>
      </c>
      <c r="S22" s="196">
        <v>0.48205999999999999</v>
      </c>
      <c r="T22" s="197">
        <f t="shared" si="0"/>
        <v>0.82492999999999994</v>
      </c>
      <c r="U22" s="197">
        <f t="shared" si="1"/>
        <v>0.75794000000000006</v>
      </c>
      <c r="V22" s="198">
        <v>0.123</v>
      </c>
      <c r="W22" s="199">
        <v>163.52897981379817</v>
      </c>
      <c r="X22" s="200">
        <v>9856.5412490508479</v>
      </c>
      <c r="Y22" s="200">
        <v>543229.83020337066</v>
      </c>
      <c r="Z22" s="200">
        <v>217291.93208134823</v>
      </c>
    </row>
    <row r="23" spans="1:26" ht="15.75" thickBot="1" x14ac:dyDescent="0.3">
      <c r="A23" s="134" t="s">
        <v>57</v>
      </c>
      <c r="B23" s="190">
        <v>436.39</v>
      </c>
      <c r="C23" s="190">
        <v>633.01</v>
      </c>
      <c r="D23" s="191">
        <v>2.2713013679594236</v>
      </c>
      <c r="E23" s="192">
        <v>29.23164860563778</v>
      </c>
      <c r="F23" s="192">
        <v>11.220228757719553</v>
      </c>
      <c r="G23" s="192">
        <v>9.4031876633520124</v>
      </c>
      <c r="H23" s="192">
        <v>23.462543131020848</v>
      </c>
      <c r="I23" s="192">
        <v>8.0631198562559536</v>
      </c>
      <c r="J23" s="192">
        <v>6.7457650628394887</v>
      </c>
      <c r="K23" s="192">
        <v>4.3608986264820935</v>
      </c>
      <c r="L23" s="193">
        <v>774513.76647416351</v>
      </c>
      <c r="M23" s="193">
        <v>105615.51361011319</v>
      </c>
      <c r="N23" s="193">
        <v>7495.2945142660983</v>
      </c>
      <c r="O23" s="194">
        <v>0.52091254752851712</v>
      </c>
      <c r="P23" s="167">
        <v>0.95099999999999996</v>
      </c>
      <c r="Q23" s="167">
        <v>0.91400000000000003</v>
      </c>
      <c r="R23" s="196">
        <v>0.39923999999999998</v>
      </c>
      <c r="S23" s="196">
        <v>0.34893000000000002</v>
      </c>
      <c r="T23" s="197">
        <f t="shared" si="0"/>
        <v>0.55176000000000003</v>
      </c>
      <c r="U23" s="197">
        <f t="shared" si="1"/>
        <v>0.56506999999999996</v>
      </c>
      <c r="V23" s="198">
        <v>0.111</v>
      </c>
      <c r="W23" s="199">
        <v>224.79946969222425</v>
      </c>
      <c r="X23" s="200">
        <v>12009.834682187324</v>
      </c>
      <c r="Y23" s="200">
        <v>383236.90415338782</v>
      </c>
      <c r="Z23" s="200">
        <v>153202.37831764598</v>
      </c>
    </row>
    <row r="24" spans="1:26" ht="15.75" thickBot="1" x14ac:dyDescent="0.3">
      <c r="A24" s="134" t="s">
        <v>58</v>
      </c>
      <c r="B24" s="190">
        <v>274.88</v>
      </c>
      <c r="C24" s="190">
        <v>452.83</v>
      </c>
      <c r="D24" s="191">
        <v>1.319650219728125</v>
      </c>
      <c r="E24" s="203">
        <v>25.522035249541936</v>
      </c>
      <c r="F24" s="203">
        <v>8.8284599699811572</v>
      </c>
      <c r="G24" s="203">
        <v>7.403237732674782</v>
      </c>
      <c r="H24" s="203">
        <v>20.480971410180501</v>
      </c>
      <c r="I24" s="203">
        <v>6.3475175568922806</v>
      </c>
      <c r="J24" s="203">
        <v>5.3181903855043444</v>
      </c>
      <c r="K24" s="203">
        <v>3.4046975668985628</v>
      </c>
      <c r="L24" s="193">
        <v>1059679.1264416843</v>
      </c>
      <c r="M24" s="193">
        <v>141730.43359880062</v>
      </c>
      <c r="N24" s="193">
        <v>9765.4116259881248</v>
      </c>
      <c r="O24" s="194">
        <v>0.76901140684410652</v>
      </c>
      <c r="P24" s="167">
        <v>1.4790000000000001</v>
      </c>
      <c r="Q24" s="167">
        <v>1.2390000000000001</v>
      </c>
      <c r="R24" s="167">
        <v>0.61751</v>
      </c>
      <c r="S24" s="196">
        <v>0.40200999999999998</v>
      </c>
      <c r="T24" s="204">
        <f t="shared" si="0"/>
        <v>0.86149000000000009</v>
      </c>
      <c r="U24" s="204">
        <f t="shared" si="1"/>
        <v>0.83699000000000012</v>
      </c>
      <c r="V24" s="205">
        <v>0.115</v>
      </c>
      <c r="W24" s="206">
        <v>155.52039348801569</v>
      </c>
      <c r="X24" s="207">
        <v>1597.8122618631746</v>
      </c>
      <c r="Y24" s="207">
        <v>296234.39334943262</v>
      </c>
      <c r="Z24" s="200">
        <v>118451.14901279002</v>
      </c>
    </row>
    <row r="25" spans="1:26" ht="15.75" thickBot="1" x14ac:dyDescent="0.3">
      <c r="A25" s="134" t="s">
        <v>172</v>
      </c>
      <c r="B25" s="190">
        <v>449.09</v>
      </c>
      <c r="C25" s="190">
        <v>731.56</v>
      </c>
      <c r="D25" s="191">
        <v>4.8254629978533945</v>
      </c>
      <c r="E25" s="192">
        <v>0</v>
      </c>
      <c r="F25" s="192">
        <v>0</v>
      </c>
      <c r="G25" s="192">
        <v>0</v>
      </c>
      <c r="H25" s="192">
        <v>0</v>
      </c>
      <c r="I25" s="192">
        <v>0</v>
      </c>
      <c r="J25" s="192">
        <v>0</v>
      </c>
      <c r="K25" s="192">
        <v>0</v>
      </c>
      <c r="L25" s="193">
        <v>0</v>
      </c>
      <c r="M25" s="193">
        <v>0</v>
      </c>
      <c r="N25" s="193">
        <v>0</v>
      </c>
      <c r="O25" s="194">
        <v>0.49334600760456271</v>
      </c>
      <c r="P25" s="167">
        <v>1.133</v>
      </c>
      <c r="Q25" s="167">
        <v>1.091</v>
      </c>
      <c r="R25" s="196">
        <v>0.46162000000000003</v>
      </c>
      <c r="S25" s="196">
        <v>0.43025000000000002</v>
      </c>
      <c r="T25" s="197">
        <f t="shared" si="0"/>
        <v>0.67137999999999998</v>
      </c>
      <c r="U25" s="197">
        <f t="shared" si="1"/>
        <v>0.66074999999999995</v>
      </c>
      <c r="V25" s="198">
        <v>9.4E-2</v>
      </c>
      <c r="W25" s="199">
        <v>238.29610379592052</v>
      </c>
      <c r="X25" s="200">
        <v>15832.001416578281</v>
      </c>
      <c r="Y25" s="200">
        <v>80139.306139586974</v>
      </c>
      <c r="Z25" s="200">
        <v>32153.652361504344</v>
      </c>
    </row>
    <row r="26" spans="1:26" ht="15.75" thickBot="1" x14ac:dyDescent="0.3">
      <c r="A26" s="134" t="s">
        <v>59</v>
      </c>
      <c r="B26" s="190">
        <v>405.79</v>
      </c>
      <c r="C26" s="190">
        <v>630.39</v>
      </c>
      <c r="D26" s="191">
        <v>2.6362273460588752</v>
      </c>
      <c r="E26" s="192">
        <v>32.583769997287696</v>
      </c>
      <c r="F26" s="192">
        <v>12.126645791870825</v>
      </c>
      <c r="G26" s="192">
        <v>10.175837555787258</v>
      </c>
      <c r="H26" s="192">
        <v>26.151375272904041</v>
      </c>
      <c r="I26" s="192">
        <v>8.7259125154548762</v>
      </c>
      <c r="J26" s="192">
        <v>7.328712022043673</v>
      </c>
      <c r="K26" s="192">
        <v>4.903382863669508</v>
      </c>
      <c r="L26" s="193">
        <v>811958.02258613356</v>
      </c>
      <c r="M26" s="193">
        <v>110985.17126907865</v>
      </c>
      <c r="N26" s="193">
        <v>7908.6820381766256</v>
      </c>
      <c r="O26" s="194">
        <v>0.63307984790874516</v>
      </c>
      <c r="P26" s="167">
        <v>1.1000000000000001</v>
      </c>
      <c r="Q26" s="167">
        <v>0.97</v>
      </c>
      <c r="R26" s="196">
        <v>0.55052000000000001</v>
      </c>
      <c r="S26" s="196">
        <v>0.36799999999999999</v>
      </c>
      <c r="T26" s="197">
        <f t="shared" si="0"/>
        <v>0.54948000000000008</v>
      </c>
      <c r="U26" s="197">
        <f t="shared" si="1"/>
        <v>0.60199999999999998</v>
      </c>
      <c r="V26" s="198">
        <v>0.123</v>
      </c>
      <c r="W26" s="199">
        <v>196.69749905388554</v>
      </c>
      <c r="X26" s="200">
        <v>14819.674586251651</v>
      </c>
      <c r="Y26" s="200">
        <v>395954.76008176</v>
      </c>
      <c r="Z26" s="200">
        <v>158435.79375847219</v>
      </c>
    </row>
    <row r="27" spans="1:26" ht="15.75" thickBot="1" x14ac:dyDescent="0.3">
      <c r="A27" s="134" t="s">
        <v>60</v>
      </c>
      <c r="B27" s="190">
        <v>296.33999999999997</v>
      </c>
      <c r="C27" s="190">
        <v>485.95</v>
      </c>
      <c r="D27" s="191">
        <v>1.8622706498509318</v>
      </c>
      <c r="E27" s="192">
        <v>35.010688217197519</v>
      </c>
      <c r="F27" s="192">
        <v>14.972656024801489</v>
      </c>
      <c r="G27" s="192">
        <v>12.551704179995282</v>
      </c>
      <c r="H27" s="192">
        <v>28.083041399752052</v>
      </c>
      <c r="I27" s="192">
        <v>10.763924356138386</v>
      </c>
      <c r="J27" s="192">
        <v>9.0320126517770181</v>
      </c>
      <c r="K27" s="192">
        <v>4.6742993311258383</v>
      </c>
      <c r="L27" s="193">
        <v>1413463.4232368572</v>
      </c>
      <c r="M27" s="193">
        <v>184364.79433524224</v>
      </c>
      <c r="N27" s="193">
        <v>13594.575743911802</v>
      </c>
      <c r="O27" s="194">
        <v>0.75950570342205326</v>
      </c>
      <c r="P27" s="167">
        <v>1.2130000000000001</v>
      </c>
      <c r="Q27" s="167">
        <v>1.1120000000000001</v>
      </c>
      <c r="R27" s="196">
        <v>0.52752999999999994</v>
      </c>
      <c r="S27" s="196">
        <v>0.45491000000000004</v>
      </c>
      <c r="T27" s="197">
        <f t="shared" si="0"/>
        <v>0.68547000000000013</v>
      </c>
      <c r="U27" s="197">
        <f t="shared" si="1"/>
        <v>0.65709000000000006</v>
      </c>
      <c r="V27" s="198">
        <v>0.113</v>
      </c>
      <c r="W27" s="199">
        <v>163.69170105522031</v>
      </c>
      <c r="X27" s="200">
        <v>12893.52439818516</v>
      </c>
      <c r="Y27" s="200">
        <v>407547.48858611356</v>
      </c>
      <c r="Z27" s="200">
        <v>163018.99543444542</v>
      </c>
    </row>
    <row r="28" spans="1:26" ht="15.75" thickBot="1" x14ac:dyDescent="0.3">
      <c r="A28" s="134" t="s">
        <v>61</v>
      </c>
      <c r="B28" s="190">
        <v>203.43</v>
      </c>
      <c r="C28" s="190">
        <v>339.04</v>
      </c>
      <c r="D28" s="191">
        <v>1.4230455970757747</v>
      </c>
      <c r="E28" s="192">
        <v>31.790838638672806</v>
      </c>
      <c r="F28" s="192">
        <v>12.1243484870856</v>
      </c>
      <c r="G28" s="192">
        <v>10.174776019091789</v>
      </c>
      <c r="H28" s="192">
        <v>25.51520755556864</v>
      </c>
      <c r="I28" s="192">
        <v>8.7090390541037408</v>
      </c>
      <c r="J28" s="192">
        <v>7.3002239129987245</v>
      </c>
      <c r="K28" s="192">
        <v>4.0414494956951996</v>
      </c>
      <c r="L28" s="193">
        <v>1596657.1599190193</v>
      </c>
      <c r="M28" s="193">
        <v>197661.0334338251</v>
      </c>
      <c r="N28" s="193">
        <v>14941.978769295634</v>
      </c>
      <c r="O28" s="194">
        <v>0.85741444866920158</v>
      </c>
      <c r="P28" s="167">
        <v>1.149</v>
      </c>
      <c r="Q28" s="167">
        <v>1.0469999999999999</v>
      </c>
      <c r="R28" s="196">
        <v>0.45591999999999999</v>
      </c>
      <c r="S28" s="196">
        <v>0.33100000000000002</v>
      </c>
      <c r="T28" s="197">
        <f t="shared" si="0"/>
        <v>0.69308000000000003</v>
      </c>
      <c r="U28" s="197">
        <f t="shared" si="1"/>
        <v>0.71599999999999997</v>
      </c>
      <c r="V28" s="198">
        <v>0.186</v>
      </c>
      <c r="W28" s="199">
        <v>154.8195832216303</v>
      </c>
      <c r="X28" s="200">
        <v>3817.4691753278703</v>
      </c>
      <c r="Y28" s="200">
        <v>375384.4689072406</v>
      </c>
      <c r="Z28" s="200">
        <v>150153.78756289624</v>
      </c>
    </row>
    <row r="29" spans="1:26" ht="15.75" thickBot="1" x14ac:dyDescent="0.3">
      <c r="A29" s="134" t="s">
        <v>62</v>
      </c>
      <c r="B29" s="190">
        <v>211.14</v>
      </c>
      <c r="C29" s="190">
        <v>392.69</v>
      </c>
      <c r="D29" s="191">
        <v>1.4793835500806223</v>
      </c>
      <c r="E29" s="192">
        <v>44.825321567442856</v>
      </c>
      <c r="F29" s="192">
        <v>12.130945110661102</v>
      </c>
      <c r="G29" s="192">
        <v>10.17815882455468</v>
      </c>
      <c r="H29" s="192">
        <v>35.978607937960732</v>
      </c>
      <c r="I29" s="192">
        <v>8.7283629454756717</v>
      </c>
      <c r="J29" s="192">
        <v>7.3081547373982749</v>
      </c>
      <c r="K29" s="192">
        <v>5.2222239317845967</v>
      </c>
      <c r="L29" s="193">
        <v>2766447.2386507639</v>
      </c>
      <c r="M29" s="193">
        <v>404315.52423703409</v>
      </c>
      <c r="N29" s="193">
        <v>29143.855936588257</v>
      </c>
      <c r="O29" s="194">
        <v>1.1530418250950569</v>
      </c>
      <c r="P29" s="167">
        <v>1.3440000000000001</v>
      </c>
      <c r="Q29" s="167">
        <v>1.3049999999999999</v>
      </c>
      <c r="R29" s="196">
        <v>0.64334000000000002</v>
      </c>
      <c r="S29" s="196">
        <v>0.55547000000000002</v>
      </c>
      <c r="T29" s="197">
        <f t="shared" si="0"/>
        <v>0.70066000000000006</v>
      </c>
      <c r="U29" s="197">
        <f t="shared" si="1"/>
        <v>0.74952999999999992</v>
      </c>
      <c r="V29" s="198">
        <v>0.12</v>
      </c>
      <c r="W29" s="199">
        <v>167.0785632119767</v>
      </c>
      <c r="X29" s="200">
        <v>4691.9322545829073</v>
      </c>
      <c r="Y29" s="200">
        <v>500663.50277561508</v>
      </c>
      <c r="Z29" s="200">
        <v>200265.40111024602</v>
      </c>
    </row>
    <row r="30" spans="1:26" ht="15.75" thickBot="1" x14ac:dyDescent="0.3">
      <c r="A30" s="134" t="s">
        <v>63</v>
      </c>
      <c r="B30" s="190">
        <v>248.97</v>
      </c>
      <c r="C30" s="190">
        <v>434.1</v>
      </c>
      <c r="D30" s="191">
        <v>1.5616631997768768</v>
      </c>
      <c r="E30" s="192">
        <v>45.319466057524963</v>
      </c>
      <c r="F30" s="192">
        <v>13.024271086139153</v>
      </c>
      <c r="G30" s="192">
        <v>10.91602576644037</v>
      </c>
      <c r="H30" s="192">
        <v>36.371135922803461</v>
      </c>
      <c r="I30" s="192">
        <v>9.3543625666634931</v>
      </c>
      <c r="J30" s="192">
        <v>7.8395492628799213</v>
      </c>
      <c r="K30" s="192">
        <v>5.3408881432369189</v>
      </c>
      <c r="L30" s="193">
        <v>2834418.7075950312</v>
      </c>
      <c r="M30" s="193">
        <v>367147.01826754375</v>
      </c>
      <c r="N30" s="193">
        <v>29046.935515849909</v>
      </c>
      <c r="O30" s="194">
        <v>1.2480988593155895</v>
      </c>
      <c r="P30" s="167">
        <v>1.31</v>
      </c>
      <c r="Q30" s="167">
        <v>1.3260000000000001</v>
      </c>
      <c r="R30" s="196">
        <v>0.67415000000000003</v>
      </c>
      <c r="S30" s="196">
        <v>0.67415000000000003</v>
      </c>
      <c r="T30" s="197">
        <f t="shared" si="0"/>
        <v>0.63585000000000003</v>
      </c>
      <c r="U30" s="197">
        <f t="shared" si="1"/>
        <v>0.65185000000000004</v>
      </c>
      <c r="V30" s="198">
        <v>0.20799999999999999</v>
      </c>
      <c r="W30" s="199">
        <v>180.65391379918222</v>
      </c>
      <c r="X30" s="200">
        <v>6434.2489846284079</v>
      </c>
      <c r="Y30" s="200">
        <v>573019.36630411842</v>
      </c>
      <c r="Z30" s="200">
        <v>229158.25229868866</v>
      </c>
    </row>
    <row r="31" spans="1:26" ht="15.75" thickBot="1" x14ac:dyDescent="0.3">
      <c r="A31" s="134" t="s">
        <v>175</v>
      </c>
      <c r="B31" s="190">
        <v>203.16</v>
      </c>
      <c r="C31" s="190">
        <v>362.34</v>
      </c>
      <c r="D31" s="191">
        <v>1.3668049166482841</v>
      </c>
      <c r="E31" s="192">
        <v>0</v>
      </c>
      <c r="F31" s="192">
        <v>0</v>
      </c>
      <c r="G31" s="192">
        <v>0</v>
      </c>
      <c r="H31" s="192">
        <v>0</v>
      </c>
      <c r="I31" s="192">
        <v>0</v>
      </c>
      <c r="J31" s="192">
        <v>0</v>
      </c>
      <c r="K31" s="192">
        <v>0</v>
      </c>
      <c r="L31" s="193">
        <v>3954166.6238634856</v>
      </c>
      <c r="M31" s="193">
        <v>554922.79615920328</v>
      </c>
      <c r="N31" s="193">
        <v>39774.023074465069</v>
      </c>
      <c r="O31" s="194">
        <v>1.3041825095057034</v>
      </c>
      <c r="P31" s="167">
        <v>1.61</v>
      </c>
      <c r="Q31" s="167">
        <v>1.454</v>
      </c>
      <c r="R31" s="196">
        <v>0.59107949999999998</v>
      </c>
      <c r="S31" s="196">
        <v>0.45244448999999998</v>
      </c>
      <c r="T31" s="197">
        <f t="shared" si="0"/>
        <v>1.0189205000000001</v>
      </c>
      <c r="U31" s="197">
        <f t="shared" si="1"/>
        <v>1.00155551</v>
      </c>
      <c r="V31" s="198">
        <v>9.9000000000000005E-2</v>
      </c>
      <c r="W31" s="199">
        <v>166.90487252164786</v>
      </c>
      <c r="X31" s="200">
        <v>3543.8705809390985</v>
      </c>
      <c r="Y31" s="200">
        <v>409259.8928955475</v>
      </c>
      <c r="Z31" s="200">
        <v>163703.95715821898</v>
      </c>
    </row>
    <row r="32" spans="1:26" ht="15.75" thickBot="1" x14ac:dyDescent="0.3">
      <c r="A32" s="134" t="s">
        <v>64</v>
      </c>
      <c r="B32" s="190">
        <v>192.06</v>
      </c>
      <c r="C32" s="190">
        <v>330.38</v>
      </c>
      <c r="D32" s="191">
        <v>1.1449390511357291</v>
      </c>
      <c r="E32" s="192">
        <v>37.748640515944992</v>
      </c>
      <c r="F32" s="192">
        <v>12.846216153742882</v>
      </c>
      <c r="G32" s="192">
        <v>10.762427080675854</v>
      </c>
      <c r="H32" s="192">
        <v>30.306536683562747</v>
      </c>
      <c r="I32" s="192">
        <v>9.2282087521539768</v>
      </c>
      <c r="J32" s="192">
        <v>7.7397879856775287</v>
      </c>
      <c r="K32" s="192">
        <v>4.2935214417589842</v>
      </c>
      <c r="L32" s="193">
        <v>2947073.1176233669</v>
      </c>
      <c r="M32" s="193">
        <v>405079.43629182095</v>
      </c>
      <c r="N32" s="193">
        <v>31027.848285778258</v>
      </c>
      <c r="O32" s="194">
        <v>1.5522813688212929</v>
      </c>
      <c r="P32" s="167">
        <v>1.23</v>
      </c>
      <c r="Q32" s="167">
        <v>1.23</v>
      </c>
      <c r="R32" s="196">
        <v>0.73119999999999996</v>
      </c>
      <c r="S32" s="196">
        <v>0.75870000000000004</v>
      </c>
      <c r="T32" s="197">
        <f t="shared" si="0"/>
        <v>0.49880000000000002</v>
      </c>
      <c r="U32" s="197">
        <f t="shared" si="1"/>
        <v>0.47129999999999994</v>
      </c>
      <c r="V32" s="198"/>
      <c r="W32" s="199">
        <v>149.11381353395458</v>
      </c>
      <c r="X32" s="200">
        <v>19711.620556200847</v>
      </c>
      <c r="Y32" s="200">
        <v>509336.01924235042</v>
      </c>
      <c r="Z32" s="200">
        <v>203754.83424673934</v>
      </c>
    </row>
    <row r="35" spans="1:30" ht="15.75" thickBot="1" x14ac:dyDescent="0.3"/>
    <row r="36" spans="1:30" ht="15.75" thickBot="1" x14ac:dyDescent="0.3">
      <c r="A36" s="618" t="s">
        <v>39</v>
      </c>
      <c r="B36" s="618"/>
      <c r="C36" s="618"/>
      <c r="D36" s="618"/>
      <c r="E36" s="618"/>
      <c r="F36" s="618"/>
      <c r="G36" s="618"/>
      <c r="H36" s="618"/>
      <c r="I36" s="618"/>
      <c r="J36" s="618"/>
      <c r="K36" s="618"/>
      <c r="L36" s="618"/>
    </row>
    <row r="37" spans="1:30" ht="51.75" thickBot="1" x14ac:dyDescent="0.3">
      <c r="A37" s="73" t="s">
        <v>201</v>
      </c>
      <c r="B37" s="617">
        <v>1.1337416417991455</v>
      </c>
      <c r="C37" s="617"/>
      <c r="D37" s="617"/>
      <c r="E37" s="617"/>
      <c r="F37" s="617"/>
      <c r="G37" s="617"/>
      <c r="H37" s="617"/>
      <c r="I37" s="617"/>
      <c r="J37" s="617"/>
      <c r="K37" s="617"/>
      <c r="L37" s="617"/>
    </row>
    <row r="38" spans="1:30" ht="60.75" thickBot="1" x14ac:dyDescent="0.3">
      <c r="A38" s="71" t="s">
        <v>199</v>
      </c>
      <c r="B38" s="208">
        <v>0.13491525537409832</v>
      </c>
      <c r="C38" s="208"/>
      <c r="D38" s="208">
        <v>0.13491525537409832</v>
      </c>
      <c r="E38" s="208">
        <v>0.16779376298627352</v>
      </c>
      <c r="F38" s="208"/>
      <c r="G38" s="208">
        <v>6</v>
      </c>
      <c r="H38" s="208">
        <v>5.4419598806358986E-2</v>
      </c>
      <c r="I38" s="208">
        <v>0</v>
      </c>
      <c r="J38" s="208">
        <v>0.19273607910585475</v>
      </c>
      <c r="K38" s="208"/>
      <c r="L38" s="208">
        <v>0.19273607910585475</v>
      </c>
    </row>
    <row r="39" spans="1:30" ht="60.75" thickBot="1" x14ac:dyDescent="0.3">
      <c r="A39" s="71" t="s">
        <v>200</v>
      </c>
      <c r="B39" s="208">
        <v>6.5757015224350432</v>
      </c>
      <c r="C39" s="208"/>
      <c r="D39" s="208">
        <v>6.5757015224350432</v>
      </c>
      <c r="E39" s="208">
        <v>9.6708162045467105</v>
      </c>
      <c r="F39" s="208"/>
      <c r="G39" s="209">
        <v>0</v>
      </c>
      <c r="H39" s="208">
        <v>0.9183307298573079</v>
      </c>
      <c r="I39" s="208">
        <v>0</v>
      </c>
      <c r="J39" s="208">
        <v>8.990571219467224</v>
      </c>
      <c r="K39" s="208"/>
      <c r="L39" s="208">
        <v>8.990571219467224</v>
      </c>
    </row>
    <row r="40" spans="1:30" ht="30.75" thickBot="1" x14ac:dyDescent="0.3">
      <c r="A40" s="71" t="s">
        <v>198</v>
      </c>
      <c r="B40" s="208">
        <v>0</v>
      </c>
      <c r="C40" s="208"/>
      <c r="D40" s="208">
        <v>0</v>
      </c>
      <c r="E40" s="208">
        <v>23.2190288240465</v>
      </c>
      <c r="F40" s="208"/>
      <c r="G40" s="209">
        <v>0</v>
      </c>
      <c r="H40" s="208">
        <v>0</v>
      </c>
      <c r="I40" s="208">
        <v>0</v>
      </c>
      <c r="J40" s="208">
        <v>19.489018822527314</v>
      </c>
      <c r="K40" s="208">
        <v>19.489018822527314</v>
      </c>
      <c r="L40" s="208">
        <v>19.489018822527314</v>
      </c>
    </row>
    <row r="43" spans="1:30" ht="15.75" thickBot="1" x14ac:dyDescent="0.3"/>
    <row r="44" spans="1:30" ht="48" thickBot="1" x14ac:dyDescent="0.3">
      <c r="A44" s="72" t="s">
        <v>396</v>
      </c>
      <c r="B44" s="17" t="s">
        <v>39</v>
      </c>
      <c r="C44" s="17" t="s">
        <v>40</v>
      </c>
      <c r="D44" s="17" t="s">
        <v>169</v>
      </c>
      <c r="E44" s="17" t="s">
        <v>170</v>
      </c>
      <c r="F44" s="17" t="s">
        <v>41</v>
      </c>
      <c r="G44" s="17" t="s">
        <v>42</v>
      </c>
      <c r="H44" s="17" t="s">
        <v>43</v>
      </c>
      <c r="I44" s="17" t="s">
        <v>44</v>
      </c>
      <c r="J44" s="17" t="s">
        <v>45</v>
      </c>
      <c r="K44" s="17" t="s">
        <v>46</v>
      </c>
      <c r="L44" s="17" t="s">
        <v>47</v>
      </c>
      <c r="M44" s="17" t="s">
        <v>48</v>
      </c>
      <c r="N44" s="17" t="s">
        <v>49</v>
      </c>
      <c r="O44" s="17" t="s">
        <v>171</v>
      </c>
      <c r="P44" s="17" t="s">
        <v>50</v>
      </c>
      <c r="Q44" s="17" t="s">
        <v>51</v>
      </c>
      <c r="R44" s="17" t="s">
        <v>52</v>
      </c>
      <c r="S44" s="17" t="s">
        <v>53</v>
      </c>
      <c r="T44" s="17" t="s">
        <v>54</v>
      </c>
      <c r="U44" s="17" t="s">
        <v>55</v>
      </c>
      <c r="V44" s="17" t="s">
        <v>56</v>
      </c>
      <c r="W44" s="17" t="s">
        <v>172</v>
      </c>
      <c r="X44" s="17" t="s">
        <v>59</v>
      </c>
      <c r="Y44" s="17" t="s">
        <v>60</v>
      </c>
      <c r="Z44" s="17" t="s">
        <v>61</v>
      </c>
      <c r="AA44" s="17" t="s">
        <v>62</v>
      </c>
      <c r="AB44" s="17" t="s">
        <v>63</v>
      </c>
      <c r="AC44" s="17" t="s">
        <v>175</v>
      </c>
      <c r="AD44" s="17" t="s">
        <v>64</v>
      </c>
    </row>
    <row r="45" spans="1:30" ht="75.75" thickBot="1" x14ac:dyDescent="0.3">
      <c r="A45" s="70" t="s">
        <v>287</v>
      </c>
      <c r="B45" s="210">
        <v>1.1805336137907765</v>
      </c>
      <c r="C45" s="210">
        <v>1.1564528385036805</v>
      </c>
      <c r="D45" s="210">
        <v>1.4038947613046875</v>
      </c>
      <c r="E45" s="210">
        <v>1.1257150112981944</v>
      </c>
      <c r="F45" s="210">
        <v>0.96689787342276212</v>
      </c>
      <c r="G45" s="210">
        <v>1.2183603521628494</v>
      </c>
      <c r="H45" s="210">
        <v>1.0823275680345765</v>
      </c>
      <c r="I45" s="210">
        <v>1.3062554594383311</v>
      </c>
      <c r="J45" s="210">
        <v>1.0864870385580789</v>
      </c>
      <c r="K45" s="210">
        <v>1.107265686547839</v>
      </c>
      <c r="L45" s="210">
        <v>1.2089971657447212</v>
      </c>
      <c r="M45" s="210">
        <v>0.83800771494975868</v>
      </c>
      <c r="N45" s="210">
        <v>1.3610365483038995</v>
      </c>
      <c r="O45" s="210">
        <v>1.6373879308697759</v>
      </c>
      <c r="P45" s="210">
        <v>1.076558704319176</v>
      </c>
      <c r="Q45" s="210">
        <v>1.0080350065842967</v>
      </c>
      <c r="R45" s="210">
        <v>1.3273214231453372</v>
      </c>
      <c r="S45" s="210">
        <v>1.4922681014332659</v>
      </c>
      <c r="T45" s="210">
        <v>1.1324062513786404</v>
      </c>
      <c r="U45" s="210">
        <v>1.264756252154317</v>
      </c>
      <c r="V45" s="210">
        <v>1.12006150557396</v>
      </c>
      <c r="W45" s="210">
        <v>1.6321650944926063</v>
      </c>
      <c r="X45" s="210">
        <v>1.3472431442046955</v>
      </c>
      <c r="Y45" s="210">
        <v>1.1211760346247965</v>
      </c>
      <c r="Z45" s="210">
        <v>1.0604081042577418</v>
      </c>
      <c r="AA45" s="210">
        <v>1.1443737206299773</v>
      </c>
      <c r="AB45" s="210">
        <v>1.2373555739670015</v>
      </c>
      <c r="AC45" s="210">
        <v>1.1431840583674511</v>
      </c>
      <c r="AD45" s="210">
        <v>1.0213274899585931</v>
      </c>
    </row>
    <row r="46" spans="1:30" ht="19.5" thickBot="1" x14ac:dyDescent="0.3">
      <c r="A46" s="61" t="s">
        <v>296</v>
      </c>
      <c r="B46" s="199">
        <v>172.35790761345336</v>
      </c>
      <c r="C46" s="199">
        <v>168.84211442153736</v>
      </c>
      <c r="D46" s="199">
        <v>204.96863515048437</v>
      </c>
      <c r="E46" s="199">
        <v>164.35439164953638</v>
      </c>
      <c r="F46" s="199">
        <v>141.16708951972328</v>
      </c>
      <c r="G46" s="199">
        <v>177.88061141577603</v>
      </c>
      <c r="H46" s="199">
        <v>158.01982493304817</v>
      </c>
      <c r="I46" s="199">
        <v>190.71329707799634</v>
      </c>
      <c r="J46" s="199">
        <v>158.62710762947953</v>
      </c>
      <c r="K46" s="199">
        <v>161.66079023598448</v>
      </c>
      <c r="L46" s="199">
        <v>176.51358619872929</v>
      </c>
      <c r="M46" s="199">
        <v>122.34912638266476</v>
      </c>
      <c r="N46" s="199">
        <v>198.71133605236932</v>
      </c>
      <c r="O46" s="199">
        <v>239.05863790698729</v>
      </c>
      <c r="P46" s="199">
        <v>157.17757083059971</v>
      </c>
      <c r="Q46" s="199">
        <v>147.17311096130732</v>
      </c>
      <c r="R46" s="199">
        <v>193.78892777921922</v>
      </c>
      <c r="S46" s="199">
        <v>217.87114280925684</v>
      </c>
      <c r="T46" s="199">
        <v>165.33131270128149</v>
      </c>
      <c r="U46" s="199">
        <v>184.65441281453027</v>
      </c>
      <c r="V46" s="199">
        <v>163.52897981379817</v>
      </c>
      <c r="W46" s="199">
        <v>238.29610379592052</v>
      </c>
      <c r="X46" s="199">
        <v>196.69749905388554</v>
      </c>
      <c r="Y46" s="199">
        <v>163.69170105522031</v>
      </c>
      <c r="Z46" s="199">
        <v>154.8195832216303</v>
      </c>
      <c r="AA46" s="199">
        <v>167.0785632119767</v>
      </c>
      <c r="AB46" s="199">
        <v>180.65391379918222</v>
      </c>
      <c r="AC46" s="199">
        <v>166.90487252164786</v>
      </c>
      <c r="AD46" s="199">
        <v>149.11381353395458</v>
      </c>
    </row>
    <row r="47" spans="1:30" ht="19.5" thickBot="1" x14ac:dyDescent="0.3">
      <c r="A47" s="61" t="s">
        <v>295</v>
      </c>
      <c r="B47" s="200">
        <v>16055.257147554561</v>
      </c>
      <c r="C47" s="200">
        <v>10061.139694982021</v>
      </c>
      <c r="D47" s="200">
        <v>9967.6528052632821</v>
      </c>
      <c r="E47" s="200">
        <v>0</v>
      </c>
      <c r="F47" s="200">
        <v>0</v>
      </c>
      <c r="G47" s="200">
        <v>12914.619732926203</v>
      </c>
      <c r="H47" s="200">
        <v>5736.3361105832555</v>
      </c>
      <c r="I47" s="200">
        <v>3657.5152864273273</v>
      </c>
      <c r="J47" s="200">
        <v>2824.8663002510052</v>
      </c>
      <c r="K47" s="200">
        <v>11626.289708752309</v>
      </c>
      <c r="L47" s="200">
        <v>15354.264004957959</v>
      </c>
      <c r="M47" s="200">
        <v>2262.6208303643484</v>
      </c>
      <c r="N47" s="200">
        <v>16876.853198968354</v>
      </c>
      <c r="O47" s="200">
        <v>0</v>
      </c>
      <c r="P47" s="200">
        <v>4736.8582990043742</v>
      </c>
      <c r="Q47" s="200">
        <v>9576.3325625508187</v>
      </c>
      <c r="R47" s="200">
        <v>5309.2856925813485</v>
      </c>
      <c r="S47" s="200">
        <v>8356.7013680262899</v>
      </c>
      <c r="T47" s="200">
        <v>14381.559392508732</v>
      </c>
      <c r="U47" s="200">
        <v>0</v>
      </c>
      <c r="V47" s="200">
        <v>9856.5412490508479</v>
      </c>
      <c r="W47" s="200">
        <v>15832.001416578281</v>
      </c>
      <c r="X47" s="200">
        <v>14819.674586251651</v>
      </c>
      <c r="Y47" s="200">
        <v>12893.52439818516</v>
      </c>
      <c r="Z47" s="200">
        <v>3817.4691753278703</v>
      </c>
      <c r="AA47" s="200">
        <v>4691.9322545829073</v>
      </c>
      <c r="AB47" s="200">
        <v>6434.2489846284079</v>
      </c>
      <c r="AC47" s="200">
        <v>3543.8705809390985</v>
      </c>
      <c r="AD47" s="200">
        <v>19711.620556200847</v>
      </c>
    </row>
    <row r="48" spans="1:30" ht="35.25" thickBot="1" x14ac:dyDescent="0.3">
      <c r="A48" s="61" t="s">
        <v>294</v>
      </c>
      <c r="B48" s="200">
        <v>569253.30856991245</v>
      </c>
      <c r="C48" s="200">
        <v>559029.30213267915</v>
      </c>
      <c r="D48" s="200">
        <v>98974.580671980468</v>
      </c>
      <c r="E48" s="200">
        <v>0</v>
      </c>
      <c r="F48" s="200">
        <v>0</v>
      </c>
      <c r="G48" s="200">
        <v>433005.26915867667</v>
      </c>
      <c r="H48" s="200">
        <v>472327.75069028919</v>
      </c>
      <c r="I48" s="200">
        <v>341847.05373501126</v>
      </c>
      <c r="J48" s="200">
        <v>470014.29288022494</v>
      </c>
      <c r="K48" s="200">
        <v>485646.73011988215</v>
      </c>
      <c r="L48" s="200">
        <v>520231.48041995353</v>
      </c>
      <c r="M48" s="200">
        <v>283749.41228198831</v>
      </c>
      <c r="N48" s="200">
        <v>393203.45880499657</v>
      </c>
      <c r="O48" s="200">
        <v>0</v>
      </c>
      <c r="P48" s="200">
        <v>578327.33596026129</v>
      </c>
      <c r="Q48" s="200">
        <v>400593.11161659949</v>
      </c>
      <c r="R48" s="200">
        <v>325591.94509755122</v>
      </c>
      <c r="S48" s="200">
        <v>397390.99541167874</v>
      </c>
      <c r="T48" s="200">
        <v>993233.52308420546</v>
      </c>
      <c r="U48" s="200">
        <v>0</v>
      </c>
      <c r="V48" s="200">
        <v>543229.83020337066</v>
      </c>
      <c r="W48" s="200">
        <v>80139.306139586974</v>
      </c>
      <c r="X48" s="200">
        <v>395954.76008176</v>
      </c>
      <c r="Y48" s="200">
        <v>407547.48858611356</v>
      </c>
      <c r="Z48" s="200">
        <v>375384.4689072406</v>
      </c>
      <c r="AA48" s="200">
        <v>500663.50277561508</v>
      </c>
      <c r="AB48" s="200">
        <v>573019.36630411842</v>
      </c>
      <c r="AC48" s="200">
        <v>409259.8928955475</v>
      </c>
      <c r="AD48" s="200">
        <v>509336.01924235042</v>
      </c>
    </row>
    <row r="49" spans="1:30" ht="35.25" thickBot="1" x14ac:dyDescent="0.3">
      <c r="A49" s="61" t="s">
        <v>297</v>
      </c>
      <c r="B49" s="200">
        <v>227724.93410024079</v>
      </c>
      <c r="C49" s="200">
        <v>223657.97896661182</v>
      </c>
      <c r="D49" s="200">
        <v>39589.83226879219</v>
      </c>
      <c r="E49" s="200">
        <v>0</v>
      </c>
      <c r="F49" s="200">
        <v>0</v>
      </c>
      <c r="G49" s="200">
        <v>173250.8420775572</v>
      </c>
      <c r="H49" s="200">
        <v>188866.16062203361</v>
      </c>
      <c r="I49" s="200">
        <v>136764.94660319327</v>
      </c>
      <c r="J49" s="200">
        <v>187962.25767054767</v>
      </c>
      <c r="K49" s="200">
        <v>194325.12798914575</v>
      </c>
      <c r="L49" s="200">
        <v>208068.41222466651</v>
      </c>
      <c r="M49" s="200">
        <v>113466.24460419733</v>
      </c>
      <c r="N49" s="200">
        <v>157335.8249839308</v>
      </c>
      <c r="O49" s="200">
        <v>0</v>
      </c>
      <c r="P49" s="200">
        <v>231352.46555819092</v>
      </c>
      <c r="Q49" s="200">
        <v>160277.56604690317</v>
      </c>
      <c r="R49" s="200">
        <v>130210.23161055757</v>
      </c>
      <c r="S49" s="200">
        <v>158926.55280264284</v>
      </c>
      <c r="T49" s="200">
        <v>397248.11298362707</v>
      </c>
      <c r="U49" s="200">
        <v>0</v>
      </c>
      <c r="V49" s="200">
        <v>217291.93208134823</v>
      </c>
      <c r="W49" s="200">
        <v>32153.652361504344</v>
      </c>
      <c r="X49" s="200">
        <v>158435.79375847219</v>
      </c>
      <c r="Y49" s="200">
        <v>163018.99543444542</v>
      </c>
      <c r="Z49" s="200">
        <v>150153.78756289624</v>
      </c>
      <c r="AA49" s="200">
        <v>200265.40111024602</v>
      </c>
      <c r="AB49" s="200">
        <v>229158.25229868866</v>
      </c>
      <c r="AC49" s="200">
        <v>163703.95715821898</v>
      </c>
      <c r="AD49" s="200">
        <v>203754.83424673934</v>
      </c>
    </row>
    <row r="57" spans="1:30" x14ac:dyDescent="0.25">
      <c r="A57" t="s">
        <v>440</v>
      </c>
    </row>
    <row r="58" spans="1:30" x14ac:dyDescent="0.25">
      <c r="A58" t="s">
        <v>194</v>
      </c>
    </row>
    <row r="59" spans="1:30" x14ac:dyDescent="0.25">
      <c r="A59" t="s">
        <v>428</v>
      </c>
    </row>
  </sheetData>
  <mergeCells count="2">
    <mergeCell ref="B37:L37"/>
    <mergeCell ref="A36:L36"/>
  </mergeCells>
  <pageMargins left="0.7" right="0.7" top="0.78740157499999996" bottom="0.78740157499999996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pageSetUpPr fitToPage="1"/>
  </sheetPr>
  <dimension ref="A1:I27"/>
  <sheetViews>
    <sheetView workbookViewId="0">
      <selection sqref="A1:I26"/>
    </sheetView>
  </sheetViews>
  <sheetFormatPr baseColWidth="10" defaultColWidth="11.42578125" defaultRowHeight="15" x14ac:dyDescent="0.25"/>
  <sheetData>
    <row r="1" spans="1:9" ht="24" customHeight="1" x14ac:dyDescent="0.35">
      <c r="A1" s="337" t="s">
        <v>15</v>
      </c>
      <c r="B1" s="338"/>
      <c r="C1" s="338"/>
      <c r="D1" s="338"/>
      <c r="E1" s="338"/>
      <c r="F1" s="338"/>
      <c r="G1" s="338"/>
      <c r="H1" s="338"/>
      <c r="I1" s="338"/>
    </row>
    <row r="2" spans="1:9" x14ac:dyDescent="0.25">
      <c r="A2" s="24"/>
      <c r="B2" s="24"/>
      <c r="C2" s="24"/>
      <c r="D2" s="24"/>
      <c r="E2" s="24"/>
      <c r="F2" s="24"/>
      <c r="G2" s="24"/>
      <c r="H2" s="24"/>
      <c r="I2" s="24"/>
    </row>
    <row r="3" spans="1:9" x14ac:dyDescent="0.25">
      <c r="A3" s="24"/>
      <c r="B3" s="24"/>
      <c r="C3" s="24"/>
      <c r="D3" s="24"/>
      <c r="E3" s="24"/>
      <c r="F3" s="24"/>
      <c r="G3" s="24"/>
      <c r="H3" s="24"/>
      <c r="I3" s="24"/>
    </row>
    <row r="4" spans="1:9" x14ac:dyDescent="0.25">
      <c r="A4" s="24"/>
      <c r="B4" s="24"/>
      <c r="C4" s="24"/>
      <c r="D4" s="24"/>
      <c r="E4" s="24"/>
      <c r="F4" s="24"/>
      <c r="G4" s="24"/>
      <c r="H4" s="24"/>
      <c r="I4" s="24"/>
    </row>
    <row r="5" spans="1:9" x14ac:dyDescent="0.25">
      <c r="A5" s="24"/>
      <c r="B5" s="24"/>
      <c r="C5" s="24"/>
      <c r="D5" s="24"/>
      <c r="E5" s="24"/>
      <c r="F5" s="24"/>
      <c r="G5" s="24"/>
      <c r="H5" s="24"/>
      <c r="I5" s="24"/>
    </row>
    <row r="6" spans="1:9" x14ac:dyDescent="0.25">
      <c r="A6" s="24"/>
      <c r="B6" s="24"/>
      <c r="C6" s="24"/>
      <c r="D6" s="24"/>
      <c r="E6" s="24"/>
      <c r="F6" s="24"/>
      <c r="G6" s="24"/>
      <c r="H6" s="24"/>
      <c r="I6" s="24"/>
    </row>
    <row r="7" spans="1:9" x14ac:dyDescent="0.25">
      <c r="A7" s="24"/>
      <c r="B7" s="24"/>
      <c r="C7" s="24"/>
      <c r="D7" s="24"/>
      <c r="E7" s="24"/>
      <c r="F7" s="24"/>
      <c r="G7" s="24"/>
      <c r="H7" s="24"/>
      <c r="I7" s="24"/>
    </row>
    <row r="8" spans="1:9" x14ac:dyDescent="0.25">
      <c r="A8" s="24"/>
      <c r="B8" s="24"/>
      <c r="C8" s="24"/>
      <c r="D8" s="24"/>
      <c r="E8" s="24"/>
      <c r="F8" s="24"/>
      <c r="G8" s="24"/>
      <c r="H8" s="24"/>
      <c r="I8" s="24"/>
    </row>
    <row r="9" spans="1:9" x14ac:dyDescent="0.25">
      <c r="A9" s="24"/>
      <c r="B9" s="24"/>
      <c r="C9" s="24"/>
      <c r="D9" s="24"/>
      <c r="E9" s="24"/>
      <c r="F9" s="24"/>
      <c r="G9" s="24"/>
      <c r="H9" s="24"/>
      <c r="I9" s="24"/>
    </row>
    <row r="10" spans="1:9" x14ac:dyDescent="0.25">
      <c r="A10" s="24"/>
      <c r="B10" s="24"/>
      <c r="C10" s="24"/>
      <c r="D10" s="24"/>
      <c r="E10" s="24"/>
      <c r="F10" s="24"/>
      <c r="G10" s="24"/>
      <c r="H10" s="24"/>
      <c r="I10" s="24"/>
    </row>
    <row r="11" spans="1:9" x14ac:dyDescent="0.25">
      <c r="A11" s="24"/>
      <c r="B11" s="24"/>
      <c r="C11" s="24"/>
      <c r="D11" s="24"/>
      <c r="E11" s="24"/>
      <c r="F11" s="24"/>
      <c r="G11" s="24"/>
      <c r="H11" s="24"/>
      <c r="I11" s="24"/>
    </row>
    <row r="12" spans="1:9" x14ac:dyDescent="0.25">
      <c r="A12" s="24"/>
      <c r="B12" s="24"/>
      <c r="C12" s="24"/>
      <c r="D12" s="24"/>
      <c r="E12" s="24"/>
      <c r="F12" s="24"/>
      <c r="G12" s="24"/>
      <c r="H12" s="24"/>
      <c r="I12" s="24"/>
    </row>
    <row r="13" spans="1:9" x14ac:dyDescent="0.25">
      <c r="A13" s="24"/>
      <c r="B13" s="24"/>
      <c r="C13" s="24"/>
      <c r="D13" s="24"/>
      <c r="E13" s="24"/>
      <c r="F13" s="24"/>
      <c r="G13" s="24"/>
      <c r="H13" s="24"/>
      <c r="I13" s="24"/>
    </row>
    <row r="14" spans="1:9" x14ac:dyDescent="0.25">
      <c r="A14" s="24"/>
      <c r="B14" s="24"/>
      <c r="C14" s="24"/>
      <c r="D14" s="24"/>
      <c r="E14" s="24"/>
      <c r="F14" s="24"/>
      <c r="G14" s="24"/>
      <c r="H14" s="24"/>
      <c r="I14" s="24"/>
    </row>
    <row r="15" spans="1:9" x14ac:dyDescent="0.25">
      <c r="A15" s="24"/>
      <c r="B15" s="24"/>
      <c r="C15" s="24"/>
      <c r="D15" s="24"/>
      <c r="E15" s="24"/>
      <c r="F15" s="24"/>
      <c r="G15" s="24"/>
      <c r="H15" s="24"/>
      <c r="I15" s="24"/>
    </row>
    <row r="16" spans="1:9" x14ac:dyDescent="0.25">
      <c r="A16" s="24"/>
      <c r="B16" s="24"/>
      <c r="C16" s="24"/>
      <c r="D16" s="24"/>
      <c r="E16" s="24"/>
      <c r="F16" s="24"/>
      <c r="G16" s="24"/>
      <c r="H16" s="24"/>
      <c r="I16" s="24"/>
    </row>
    <row r="17" spans="1:9" x14ac:dyDescent="0.25">
      <c r="A17" s="24"/>
      <c r="B17" s="24"/>
      <c r="C17" s="24"/>
      <c r="D17" s="24"/>
      <c r="E17" s="24"/>
      <c r="F17" s="24"/>
      <c r="G17" s="24"/>
      <c r="H17" s="24"/>
      <c r="I17" s="24"/>
    </row>
    <row r="18" spans="1:9" x14ac:dyDescent="0.25">
      <c r="A18" s="24"/>
      <c r="B18" s="24"/>
      <c r="C18" s="24"/>
      <c r="D18" s="24"/>
      <c r="E18" s="24"/>
      <c r="F18" s="24"/>
      <c r="G18" s="24"/>
      <c r="H18" s="24"/>
      <c r="I18" s="24"/>
    </row>
    <row r="19" spans="1:9" x14ac:dyDescent="0.25">
      <c r="A19" s="24"/>
      <c r="B19" s="24"/>
      <c r="C19" s="24"/>
      <c r="D19" s="24"/>
      <c r="E19" s="24"/>
      <c r="F19" s="24"/>
      <c r="G19" s="24"/>
      <c r="H19" s="24"/>
      <c r="I19" s="24"/>
    </row>
    <row r="20" spans="1:9" x14ac:dyDescent="0.25">
      <c r="A20" s="24"/>
      <c r="B20" s="24"/>
      <c r="C20" s="24"/>
      <c r="D20" s="24"/>
      <c r="E20" s="24"/>
      <c r="F20" s="24"/>
      <c r="G20" s="24"/>
      <c r="H20" s="24"/>
      <c r="I20" s="24"/>
    </row>
    <row r="21" spans="1:9" x14ac:dyDescent="0.25">
      <c r="A21" s="24"/>
      <c r="B21" s="24"/>
      <c r="C21" s="24"/>
      <c r="D21" s="24"/>
      <c r="E21" s="24"/>
      <c r="F21" s="24"/>
      <c r="G21" s="24"/>
      <c r="H21" s="24"/>
      <c r="I21" s="24"/>
    </row>
    <row r="22" spans="1:9" ht="14.25" customHeight="1" x14ac:dyDescent="0.25">
      <c r="A22" s="24"/>
      <c r="B22" s="24"/>
      <c r="C22" s="24"/>
      <c r="D22" s="24"/>
      <c r="E22" s="24"/>
      <c r="F22" s="24"/>
      <c r="G22" s="24"/>
      <c r="H22" s="24"/>
      <c r="I22" s="24"/>
    </row>
    <row r="23" spans="1:9" x14ac:dyDescent="0.25">
      <c r="A23" s="24"/>
      <c r="B23" s="24"/>
      <c r="C23" s="24"/>
      <c r="D23" s="24"/>
      <c r="E23" s="24"/>
      <c r="F23" s="24"/>
      <c r="G23" s="24"/>
      <c r="H23" s="24"/>
      <c r="I23" s="24"/>
    </row>
    <row r="24" spans="1:9" x14ac:dyDescent="0.25">
      <c r="A24" s="24"/>
      <c r="B24" s="24"/>
      <c r="C24" s="24"/>
      <c r="D24" s="24"/>
      <c r="E24" s="24"/>
      <c r="F24" s="24"/>
      <c r="G24" s="24"/>
      <c r="H24" s="24"/>
      <c r="I24" s="24"/>
    </row>
    <row r="25" spans="1:9" x14ac:dyDescent="0.25">
      <c r="A25" s="24"/>
      <c r="B25" s="24"/>
      <c r="C25" s="24"/>
      <c r="D25" s="24"/>
      <c r="E25" s="24"/>
      <c r="F25" s="24"/>
      <c r="G25" s="24"/>
      <c r="H25" s="24"/>
      <c r="I25" s="24"/>
    </row>
    <row r="26" spans="1:9" x14ac:dyDescent="0.25">
      <c r="A26" s="24"/>
      <c r="B26" s="24"/>
      <c r="C26" s="24"/>
      <c r="D26" s="24"/>
      <c r="E26" s="24"/>
      <c r="F26" s="24"/>
      <c r="G26" s="24"/>
      <c r="H26" s="24"/>
      <c r="I26" s="24"/>
    </row>
    <row r="27" spans="1:9" x14ac:dyDescent="0.25">
      <c r="A27" s="24"/>
      <c r="B27" s="24"/>
      <c r="C27" s="24"/>
      <c r="D27" s="24"/>
      <c r="E27" s="24"/>
      <c r="F27" s="24"/>
      <c r="G27" s="24"/>
      <c r="H27" s="24"/>
      <c r="I27" s="24"/>
    </row>
  </sheetData>
  <sheetProtection algorithmName="SHA-512" hashValue="3nRxsJFlpFgY+7ZDvog+LWq3MCnuyXxoq3gH07cM667H/onpU3MdTMViX0SrMuue6/ZyggU2ud4DHqSGfMvGyw==" saltValue="AECY3ixjRWIZRuAW4AwimA==" spinCount="100000" sheet="1" objects="1" scenarios="1" selectLockedCells="1" selectUnlockedCells="1"/>
  <mergeCells count="1">
    <mergeCell ref="A1:I1"/>
  </mergeCells>
  <pageMargins left="0.7" right="0.7" top="0.78740157499999996" bottom="0.78740157499999996" header="0.3" footer="0.3"/>
  <pageSetup paperSize="9" scale="8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39997558519241921"/>
    <pageSetUpPr fitToPage="1"/>
  </sheetPr>
  <dimension ref="A1:N212"/>
  <sheetViews>
    <sheetView zoomScale="80" zoomScaleNormal="80" workbookViewId="0">
      <selection activeCell="B12" sqref="B12:C12"/>
    </sheetView>
  </sheetViews>
  <sheetFormatPr baseColWidth="10" defaultColWidth="11.42578125" defaultRowHeight="15" x14ac:dyDescent="0.25"/>
  <cols>
    <col min="1" max="1" width="26.42578125" customWidth="1"/>
    <col min="2" max="2" width="32" customWidth="1"/>
    <col min="3" max="3" width="48.5703125" customWidth="1"/>
    <col min="5" max="5" width="25.140625" customWidth="1"/>
    <col min="6" max="6" width="25.5703125" customWidth="1"/>
    <col min="7" max="14" width="11.5703125" style="25"/>
  </cols>
  <sheetData>
    <row r="1" spans="1:6" ht="24" thickBot="1" x14ac:dyDescent="0.4">
      <c r="A1" s="345" t="s">
        <v>128</v>
      </c>
      <c r="B1" s="346"/>
      <c r="C1" s="346"/>
      <c r="D1" s="346"/>
      <c r="E1" s="346"/>
      <c r="F1" s="346"/>
    </row>
    <row r="2" spans="1:6" x14ac:dyDescent="0.25">
      <c r="A2" s="82"/>
      <c r="B2" s="82"/>
      <c r="C2" s="82"/>
      <c r="D2" s="82"/>
      <c r="E2" s="82"/>
      <c r="F2" s="82"/>
    </row>
    <row r="3" spans="1:6" x14ac:dyDescent="0.25">
      <c r="A3" s="82"/>
      <c r="B3" s="82"/>
      <c r="C3" s="82"/>
      <c r="D3" s="82"/>
      <c r="E3" s="82"/>
      <c r="F3" s="82"/>
    </row>
    <row r="4" spans="1:6" x14ac:dyDescent="0.25">
      <c r="A4" s="82"/>
      <c r="B4" s="82"/>
      <c r="C4" s="82"/>
      <c r="D4" s="82"/>
      <c r="E4" s="82"/>
      <c r="F4" s="82"/>
    </row>
    <row r="5" spans="1:6" x14ac:dyDescent="0.25">
      <c r="A5" s="82"/>
      <c r="B5" s="82"/>
      <c r="C5" s="82"/>
      <c r="D5" s="82"/>
      <c r="E5" s="82"/>
      <c r="F5" s="82"/>
    </row>
    <row r="6" spans="1:6" x14ac:dyDescent="0.25">
      <c r="A6" s="82"/>
      <c r="B6" s="82"/>
      <c r="C6" s="82"/>
      <c r="D6" s="82"/>
      <c r="E6" s="82"/>
      <c r="F6" s="82"/>
    </row>
    <row r="7" spans="1:6" x14ac:dyDescent="0.25">
      <c r="A7" s="82"/>
      <c r="B7" s="82"/>
      <c r="C7" s="82"/>
      <c r="D7" s="82"/>
      <c r="E7" s="82"/>
      <c r="F7" s="82"/>
    </row>
    <row r="8" spans="1:6" x14ac:dyDescent="0.25">
      <c r="A8" s="82"/>
      <c r="B8" s="82"/>
      <c r="C8" s="82"/>
      <c r="D8" s="82"/>
      <c r="E8" s="82"/>
      <c r="F8" s="82"/>
    </row>
    <row r="9" spans="1:6" x14ac:dyDescent="0.25">
      <c r="A9" s="82"/>
      <c r="B9" s="82"/>
      <c r="C9" s="82"/>
      <c r="D9" s="82"/>
      <c r="E9" s="82"/>
      <c r="F9" s="82"/>
    </row>
    <row r="10" spans="1:6" ht="15.75" thickBot="1" x14ac:dyDescent="0.3">
      <c r="A10" s="82"/>
      <c r="B10" s="82"/>
      <c r="C10" s="82"/>
      <c r="D10" s="82"/>
      <c r="E10" s="82"/>
      <c r="F10" s="82"/>
    </row>
    <row r="11" spans="1:6" ht="19.5" thickBot="1" x14ac:dyDescent="0.35">
      <c r="A11" s="347" t="s">
        <v>2</v>
      </c>
      <c r="B11" s="347"/>
      <c r="C11" s="347"/>
      <c r="D11" s="82"/>
      <c r="E11" s="348" t="s">
        <v>3</v>
      </c>
      <c r="F11" s="349"/>
    </row>
    <row r="12" spans="1:6" ht="20.45" customHeight="1" thickBot="1" x14ac:dyDescent="0.3">
      <c r="A12" s="227" t="s">
        <v>129</v>
      </c>
      <c r="B12" s="340"/>
      <c r="C12" s="340"/>
      <c r="D12" s="82"/>
      <c r="E12" s="213" t="s">
        <v>4</v>
      </c>
      <c r="F12" s="214"/>
    </row>
    <row r="13" spans="1:6" ht="24" customHeight="1" thickBot="1" x14ac:dyDescent="0.3">
      <c r="A13" s="228" t="s">
        <v>132</v>
      </c>
      <c r="B13" s="340"/>
      <c r="C13" s="340"/>
      <c r="D13" s="82"/>
      <c r="E13" s="213" t="s">
        <v>114</v>
      </c>
      <c r="F13" s="215"/>
    </row>
    <row r="14" spans="1:6" ht="57" customHeight="1" thickBot="1" x14ac:dyDescent="0.3">
      <c r="A14" s="227" t="s">
        <v>130</v>
      </c>
      <c r="B14" s="350"/>
      <c r="C14" s="351"/>
      <c r="D14" s="82"/>
      <c r="E14" s="213" t="s">
        <v>135</v>
      </c>
      <c r="F14" s="216"/>
    </row>
    <row r="15" spans="1:6" ht="50.45" customHeight="1" thickBot="1" x14ac:dyDescent="0.3">
      <c r="A15" s="228" t="s">
        <v>131</v>
      </c>
      <c r="B15" s="340"/>
      <c r="C15" s="340"/>
      <c r="D15" s="82"/>
      <c r="E15" s="213" t="s">
        <v>440</v>
      </c>
      <c r="F15" s="216" t="s">
        <v>194</v>
      </c>
    </row>
    <row r="16" spans="1:6" ht="15.75" thickBot="1" x14ac:dyDescent="0.3">
      <c r="A16" s="157"/>
      <c r="B16" s="158"/>
      <c r="C16" s="159"/>
      <c r="D16" s="82"/>
      <c r="E16" s="160"/>
      <c r="F16" s="161"/>
    </row>
    <row r="17" spans="1:6" ht="21.75" thickBot="1" x14ac:dyDescent="0.3">
      <c r="A17" s="162" t="s">
        <v>5</v>
      </c>
      <c r="B17" s="341" t="s">
        <v>47</v>
      </c>
      <c r="C17" s="342"/>
      <c r="D17" s="342"/>
      <c r="E17" s="342"/>
      <c r="F17" s="342"/>
    </row>
    <row r="18" spans="1:6" ht="15.75" thickBot="1" x14ac:dyDescent="0.3">
      <c r="A18" s="82"/>
      <c r="B18" s="82"/>
      <c r="C18" s="82"/>
      <c r="D18" s="82"/>
      <c r="E18" s="82"/>
      <c r="F18" s="82"/>
    </row>
    <row r="19" spans="1:6" ht="24" thickBot="1" x14ac:dyDescent="0.4">
      <c r="A19" s="343"/>
      <c r="B19" s="344"/>
      <c r="C19" s="344"/>
      <c r="D19" s="344"/>
      <c r="E19" s="344"/>
      <c r="F19" s="344"/>
    </row>
    <row r="20" spans="1:6" x14ac:dyDescent="0.25">
      <c r="A20" s="25"/>
      <c r="B20" s="25"/>
      <c r="C20" s="25"/>
      <c r="D20" s="25"/>
      <c r="E20" s="25"/>
      <c r="F20" s="25"/>
    </row>
    <row r="21" spans="1:6" x14ac:dyDescent="0.25">
      <c r="A21" s="25"/>
      <c r="B21" s="25"/>
      <c r="C21" s="25"/>
      <c r="D21" s="25"/>
      <c r="E21" s="25"/>
      <c r="F21" s="25"/>
    </row>
    <row r="22" spans="1:6" x14ac:dyDescent="0.25">
      <c r="A22" s="25"/>
      <c r="B22" s="25"/>
      <c r="C22" s="25"/>
      <c r="D22" s="25"/>
      <c r="E22" s="25"/>
      <c r="F22" s="25"/>
    </row>
    <row r="23" spans="1:6" x14ac:dyDescent="0.25">
      <c r="A23" s="25"/>
      <c r="B23" s="25"/>
      <c r="C23" s="25"/>
      <c r="D23" s="25"/>
      <c r="E23" s="25"/>
      <c r="F23" s="25"/>
    </row>
    <row r="24" spans="1:6" x14ac:dyDescent="0.25">
      <c r="A24" s="25"/>
      <c r="B24" s="25"/>
      <c r="C24" s="25"/>
      <c r="D24" s="25"/>
      <c r="E24" s="25"/>
      <c r="F24" s="25"/>
    </row>
    <row r="25" spans="1:6" x14ac:dyDescent="0.25">
      <c r="A25" s="25"/>
      <c r="B25" s="25"/>
      <c r="C25" s="25"/>
      <c r="D25" s="25"/>
      <c r="E25" s="25"/>
      <c r="F25" s="25"/>
    </row>
    <row r="26" spans="1:6" x14ac:dyDescent="0.25">
      <c r="A26" s="25"/>
      <c r="B26" s="25"/>
      <c r="C26" s="25"/>
      <c r="D26" s="25"/>
      <c r="E26" s="25"/>
      <c r="F26" s="25"/>
    </row>
    <row r="27" spans="1:6" x14ac:dyDescent="0.25">
      <c r="A27" s="25"/>
      <c r="B27" s="25"/>
      <c r="C27" s="25"/>
      <c r="D27" s="25"/>
      <c r="E27" s="25"/>
      <c r="F27" s="25"/>
    </row>
    <row r="28" spans="1:6" x14ac:dyDescent="0.25">
      <c r="A28" s="25"/>
      <c r="B28" s="25"/>
      <c r="C28" s="25"/>
      <c r="D28" s="25"/>
      <c r="E28" s="25"/>
      <c r="F28" s="25"/>
    </row>
    <row r="29" spans="1:6" x14ac:dyDescent="0.25">
      <c r="A29" s="25"/>
      <c r="B29" s="25"/>
      <c r="C29" s="25"/>
      <c r="D29" s="25"/>
      <c r="E29" s="25"/>
      <c r="F29" s="25"/>
    </row>
    <row r="30" spans="1:6" x14ac:dyDescent="0.25">
      <c r="A30" s="25"/>
      <c r="B30" s="25"/>
      <c r="C30" s="25"/>
      <c r="D30" s="25"/>
      <c r="E30" s="25"/>
      <c r="F30" s="25"/>
    </row>
    <row r="31" spans="1:6" x14ac:dyDescent="0.25">
      <c r="A31" s="25"/>
      <c r="B31" s="25"/>
      <c r="C31" s="25"/>
      <c r="D31" s="25"/>
      <c r="E31" s="25"/>
      <c r="F31" s="25"/>
    </row>
    <row r="33" s="25" customFormat="1" x14ac:dyDescent="0.25"/>
    <row r="34" s="25" customFormat="1" x14ac:dyDescent="0.25"/>
    <row r="35" s="25" customFormat="1" x14ac:dyDescent="0.25"/>
    <row r="36" s="25" customFormat="1" x14ac:dyDescent="0.25"/>
    <row r="37" s="25" customFormat="1" x14ac:dyDescent="0.25"/>
    <row r="38" s="25" customFormat="1" x14ac:dyDescent="0.25"/>
    <row r="39" s="25" customFormat="1" x14ac:dyDescent="0.25"/>
    <row r="40" s="25" customFormat="1" x14ac:dyDescent="0.25"/>
    <row r="41" s="25" customFormat="1" x14ac:dyDescent="0.25"/>
    <row r="42" s="25" customFormat="1" x14ac:dyDescent="0.25"/>
    <row r="43" s="25" customFormat="1" x14ac:dyDescent="0.25"/>
    <row r="44" s="25" customFormat="1" x14ac:dyDescent="0.25"/>
    <row r="45" s="25" customFormat="1" x14ac:dyDescent="0.25"/>
    <row r="46" s="25" customFormat="1" x14ac:dyDescent="0.25"/>
    <row r="47" s="25" customFormat="1" x14ac:dyDescent="0.25"/>
    <row r="48" s="25" customFormat="1" x14ac:dyDescent="0.25"/>
    <row r="49" s="25" customFormat="1" x14ac:dyDescent="0.25"/>
    <row r="50" s="25" customFormat="1" x14ac:dyDescent="0.25"/>
    <row r="51" s="25" customFormat="1" x14ac:dyDescent="0.25"/>
    <row r="52" s="25" customFormat="1" x14ac:dyDescent="0.25"/>
    <row r="53" s="25" customFormat="1" x14ac:dyDescent="0.25"/>
    <row r="54" s="25" customFormat="1" x14ac:dyDescent="0.25"/>
    <row r="55" s="25" customFormat="1" x14ac:dyDescent="0.25"/>
    <row r="56" s="25" customFormat="1" x14ac:dyDescent="0.25"/>
    <row r="57" s="25" customFormat="1" x14ac:dyDescent="0.25"/>
    <row r="58" s="25" customFormat="1" x14ac:dyDescent="0.25"/>
    <row r="59" s="25" customFormat="1" x14ac:dyDescent="0.25"/>
    <row r="60" s="25" customFormat="1" x14ac:dyDescent="0.25"/>
    <row r="61" s="25" customFormat="1" x14ac:dyDescent="0.25"/>
    <row r="62" s="25" customFormat="1" x14ac:dyDescent="0.25"/>
    <row r="63" s="25" customFormat="1" x14ac:dyDescent="0.25"/>
    <row r="64" s="25" customFormat="1" x14ac:dyDescent="0.25"/>
    <row r="65" s="25" customFormat="1" x14ac:dyDescent="0.25"/>
    <row r="66" s="25" customFormat="1" x14ac:dyDescent="0.25"/>
    <row r="67" s="25" customFormat="1" x14ac:dyDescent="0.25"/>
    <row r="68" s="25" customFormat="1" x14ac:dyDescent="0.25"/>
    <row r="69" s="25" customFormat="1" x14ac:dyDescent="0.25"/>
    <row r="70" s="25" customFormat="1" x14ac:dyDescent="0.25"/>
    <row r="71" s="25" customFormat="1" x14ac:dyDescent="0.25"/>
    <row r="72" s="25" customFormat="1" x14ac:dyDescent="0.25"/>
    <row r="73" s="25" customFormat="1" x14ac:dyDescent="0.25"/>
    <row r="74" s="25" customFormat="1" x14ac:dyDescent="0.25"/>
    <row r="75" s="25" customFormat="1" x14ac:dyDescent="0.25"/>
    <row r="76" s="25" customFormat="1" x14ac:dyDescent="0.25"/>
    <row r="77" s="25" customFormat="1" x14ac:dyDescent="0.25"/>
    <row r="78" s="25" customFormat="1" x14ac:dyDescent="0.25"/>
    <row r="79" s="25" customFormat="1" x14ac:dyDescent="0.25"/>
    <row r="80" s="25" customFormat="1" x14ac:dyDescent="0.25"/>
    <row r="81" s="25" customFormat="1" x14ac:dyDescent="0.25"/>
    <row r="82" s="25" customFormat="1" x14ac:dyDescent="0.25"/>
    <row r="83" s="25" customFormat="1" x14ac:dyDescent="0.25"/>
    <row r="84" s="25" customFormat="1" x14ac:dyDescent="0.25"/>
    <row r="85" s="25" customFormat="1" x14ac:dyDescent="0.25"/>
    <row r="86" s="25" customFormat="1" x14ac:dyDescent="0.25"/>
    <row r="87" s="25" customFormat="1" x14ac:dyDescent="0.25"/>
    <row r="88" s="25" customFormat="1" x14ac:dyDescent="0.25"/>
    <row r="89" s="25" customFormat="1" x14ac:dyDescent="0.25"/>
    <row r="90" s="25" customFormat="1" x14ac:dyDescent="0.25"/>
    <row r="91" s="25" customFormat="1" x14ac:dyDescent="0.25"/>
    <row r="92" s="25" customFormat="1" x14ac:dyDescent="0.25"/>
    <row r="93" s="25" customFormat="1" x14ac:dyDescent="0.25"/>
    <row r="94" s="25" customFormat="1" x14ac:dyDescent="0.25"/>
    <row r="95" s="25" customFormat="1" x14ac:dyDescent="0.25"/>
    <row r="96" s="25" customFormat="1" x14ac:dyDescent="0.25"/>
    <row r="97" s="25" customFormat="1" x14ac:dyDescent="0.25"/>
    <row r="98" s="25" customFormat="1" x14ac:dyDescent="0.25"/>
    <row r="99" s="25" customFormat="1" x14ac:dyDescent="0.25"/>
    <row r="100" s="25" customFormat="1" x14ac:dyDescent="0.25"/>
    <row r="101" s="25" customFormat="1" x14ac:dyDescent="0.25"/>
    <row r="102" s="25" customFormat="1" x14ac:dyDescent="0.25"/>
    <row r="103" s="25" customFormat="1" x14ac:dyDescent="0.25"/>
    <row r="104" s="25" customFormat="1" x14ac:dyDescent="0.25"/>
    <row r="105" s="25" customFormat="1" x14ac:dyDescent="0.25"/>
    <row r="106" s="25" customFormat="1" x14ac:dyDescent="0.25"/>
    <row r="107" s="25" customFormat="1" x14ac:dyDescent="0.25"/>
    <row r="108" s="25" customFormat="1" x14ac:dyDescent="0.25"/>
    <row r="109" s="25" customFormat="1" x14ac:dyDescent="0.25"/>
    <row r="110" s="25" customFormat="1" x14ac:dyDescent="0.25"/>
    <row r="111" s="25" customFormat="1" x14ac:dyDescent="0.25"/>
    <row r="112" s="25" customFormat="1" x14ac:dyDescent="0.25"/>
    <row r="113" s="25" customFormat="1" x14ac:dyDescent="0.25"/>
    <row r="114" s="25" customFormat="1" x14ac:dyDescent="0.25"/>
    <row r="115" s="25" customFormat="1" x14ac:dyDescent="0.25"/>
    <row r="116" s="25" customFormat="1" x14ac:dyDescent="0.25"/>
    <row r="117" s="25" customFormat="1" x14ac:dyDescent="0.25"/>
    <row r="118" s="25" customFormat="1" x14ac:dyDescent="0.25"/>
    <row r="119" s="25" customFormat="1" x14ac:dyDescent="0.25"/>
    <row r="120" s="25" customFormat="1" x14ac:dyDescent="0.25"/>
    <row r="121" s="25" customFormat="1" x14ac:dyDescent="0.25"/>
    <row r="122" s="25" customFormat="1" x14ac:dyDescent="0.25"/>
    <row r="123" s="25" customFormat="1" x14ac:dyDescent="0.25"/>
    <row r="124" s="25" customFormat="1" x14ac:dyDescent="0.25"/>
    <row r="125" s="25" customFormat="1" x14ac:dyDescent="0.25"/>
    <row r="126" s="25" customFormat="1" x14ac:dyDescent="0.25"/>
    <row r="127" s="25" customFormat="1" x14ac:dyDescent="0.25"/>
    <row r="128" s="25" customFormat="1" x14ac:dyDescent="0.25"/>
    <row r="129" s="25" customFormat="1" x14ac:dyDescent="0.25"/>
    <row r="130" s="25" customFormat="1" x14ac:dyDescent="0.25"/>
    <row r="131" s="25" customFormat="1" x14ac:dyDescent="0.25"/>
    <row r="132" s="25" customFormat="1" x14ac:dyDescent="0.25"/>
    <row r="133" s="25" customFormat="1" x14ac:dyDescent="0.25"/>
    <row r="134" s="25" customFormat="1" x14ac:dyDescent="0.25"/>
    <row r="135" s="25" customFormat="1" x14ac:dyDescent="0.25"/>
    <row r="136" s="25" customFormat="1" x14ac:dyDescent="0.25"/>
    <row r="137" s="25" customFormat="1" x14ac:dyDescent="0.25"/>
    <row r="138" s="25" customFormat="1" x14ac:dyDescent="0.25"/>
    <row r="139" s="25" customFormat="1" x14ac:dyDescent="0.25"/>
    <row r="140" s="25" customFormat="1" x14ac:dyDescent="0.25"/>
    <row r="141" s="25" customFormat="1" x14ac:dyDescent="0.25"/>
    <row r="142" s="25" customFormat="1" x14ac:dyDescent="0.25"/>
    <row r="143" s="25" customFormat="1" x14ac:dyDescent="0.25"/>
    <row r="144" s="25" customFormat="1" x14ac:dyDescent="0.25"/>
    <row r="145" s="25" customFormat="1" x14ac:dyDescent="0.25"/>
    <row r="146" s="25" customFormat="1" x14ac:dyDescent="0.25"/>
    <row r="147" s="25" customFormat="1" x14ac:dyDescent="0.25"/>
    <row r="148" s="25" customFormat="1" x14ac:dyDescent="0.25"/>
    <row r="149" s="25" customFormat="1" x14ac:dyDescent="0.25"/>
    <row r="150" s="25" customFormat="1" x14ac:dyDescent="0.25"/>
    <row r="151" s="25" customFormat="1" x14ac:dyDescent="0.25"/>
    <row r="152" s="25" customFormat="1" x14ac:dyDescent="0.25"/>
    <row r="153" s="25" customFormat="1" x14ac:dyDescent="0.25"/>
    <row r="154" s="25" customFormat="1" x14ac:dyDescent="0.25"/>
    <row r="155" s="25" customFormat="1" x14ac:dyDescent="0.25"/>
    <row r="156" s="25" customFormat="1" x14ac:dyDescent="0.25"/>
    <row r="157" s="25" customFormat="1" x14ac:dyDescent="0.25"/>
    <row r="158" s="25" customFormat="1" x14ac:dyDescent="0.25"/>
    <row r="159" s="25" customFormat="1" x14ac:dyDescent="0.25"/>
    <row r="160" s="25" customFormat="1" x14ac:dyDescent="0.25"/>
    <row r="161" s="25" customFormat="1" x14ac:dyDescent="0.25"/>
    <row r="162" s="25" customFormat="1" x14ac:dyDescent="0.25"/>
    <row r="163" s="25" customFormat="1" x14ac:dyDescent="0.25"/>
    <row r="164" s="25" customFormat="1" x14ac:dyDescent="0.25"/>
    <row r="165" s="25" customFormat="1" x14ac:dyDescent="0.25"/>
    <row r="166" s="25" customFormat="1" x14ac:dyDescent="0.25"/>
    <row r="167" s="25" customFormat="1" x14ac:dyDescent="0.25"/>
    <row r="168" s="25" customFormat="1" x14ac:dyDescent="0.25"/>
    <row r="169" s="25" customFormat="1" x14ac:dyDescent="0.25"/>
    <row r="170" s="25" customFormat="1" x14ac:dyDescent="0.25"/>
    <row r="171" s="25" customFormat="1" x14ac:dyDescent="0.25"/>
    <row r="172" s="25" customFormat="1" x14ac:dyDescent="0.25"/>
    <row r="173" s="25" customFormat="1" x14ac:dyDescent="0.25"/>
    <row r="174" s="25" customFormat="1" x14ac:dyDescent="0.25"/>
    <row r="175" s="25" customFormat="1" x14ac:dyDescent="0.25"/>
    <row r="176" s="25" customFormat="1" x14ac:dyDescent="0.25"/>
    <row r="177" s="25" customFormat="1" x14ac:dyDescent="0.25"/>
    <row r="178" s="25" customFormat="1" x14ac:dyDescent="0.25"/>
    <row r="179" s="25" customFormat="1" x14ac:dyDescent="0.25"/>
    <row r="180" s="25" customFormat="1" x14ac:dyDescent="0.25"/>
    <row r="181" s="25" customFormat="1" x14ac:dyDescent="0.25"/>
    <row r="182" s="25" customFormat="1" x14ac:dyDescent="0.25"/>
    <row r="183" s="25" customFormat="1" x14ac:dyDescent="0.25"/>
    <row r="184" s="25" customFormat="1" x14ac:dyDescent="0.25"/>
    <row r="185" s="25" customFormat="1" x14ac:dyDescent="0.25"/>
    <row r="186" s="25" customFormat="1" x14ac:dyDescent="0.25"/>
    <row r="187" s="25" customFormat="1" x14ac:dyDescent="0.25"/>
    <row r="188" s="25" customFormat="1" x14ac:dyDescent="0.25"/>
    <row r="189" s="25" customFormat="1" x14ac:dyDescent="0.25"/>
    <row r="190" s="25" customFormat="1" x14ac:dyDescent="0.25"/>
    <row r="191" s="25" customFormat="1" x14ac:dyDescent="0.25"/>
    <row r="192" s="25" customFormat="1" x14ac:dyDescent="0.25"/>
    <row r="193" s="25" customFormat="1" x14ac:dyDescent="0.25"/>
    <row r="194" s="25" customFormat="1" x14ac:dyDescent="0.25"/>
    <row r="195" s="25" customFormat="1" x14ac:dyDescent="0.25"/>
    <row r="196" s="25" customFormat="1" x14ac:dyDescent="0.25"/>
    <row r="197" s="25" customFormat="1" x14ac:dyDescent="0.25"/>
    <row r="198" s="25" customFormat="1" x14ac:dyDescent="0.25"/>
    <row r="199" s="25" customFormat="1" x14ac:dyDescent="0.25"/>
    <row r="200" s="25" customFormat="1" x14ac:dyDescent="0.25"/>
    <row r="201" s="25" customFormat="1" x14ac:dyDescent="0.25"/>
    <row r="202" s="25" customFormat="1" x14ac:dyDescent="0.25"/>
    <row r="203" s="25" customFormat="1" x14ac:dyDescent="0.25"/>
    <row r="204" s="25" customFormat="1" x14ac:dyDescent="0.25"/>
    <row r="205" s="25" customFormat="1" x14ac:dyDescent="0.25"/>
    <row r="206" s="25" customFormat="1" x14ac:dyDescent="0.25"/>
    <row r="207" s="25" customFormat="1" x14ac:dyDescent="0.25"/>
    <row r="208" s="25" customFormat="1" x14ac:dyDescent="0.25"/>
    <row r="209" s="25" customFormat="1" x14ac:dyDescent="0.25"/>
    <row r="210" s="25" customFormat="1" x14ac:dyDescent="0.25"/>
    <row r="211" s="25" customFormat="1" x14ac:dyDescent="0.25"/>
    <row r="212" s="25" customFormat="1" x14ac:dyDescent="0.25"/>
  </sheetData>
  <sheetProtection algorithmName="SHA-512" hashValue="A/b99kEarUyd33seNFOMvpaRXa8FXBdkq1mpPeAghYxjJl7rbT+/Naa+yLYNox0fjPuvJOJcRBHpoNiXvnuypQ==" saltValue="W3b3H25Xk/W0vKaC/QQ6UA==" spinCount="100000" sheet="1" objects="1" scenarios="1" selectLockedCells="1"/>
  <protectedRanges>
    <protectedRange algorithmName="SHA-512" hashValue="v0q/dntxKjSqW1/6EJrETGtmY3tFBNB5lcgkTISsMoZQalgyyg/uYxMpbwKYEsm5M8Ub4EBtxeMl0Rmjs3b8gA==" saltValue="gTOHFrtvp3JabNhOZZQghg==" spinCount="100000" sqref="C17 B12:C16" name="Measure"/>
  </protectedRanges>
  <mergeCells count="9">
    <mergeCell ref="B15:C15"/>
    <mergeCell ref="B17:F17"/>
    <mergeCell ref="A19:F19"/>
    <mergeCell ref="A1:F1"/>
    <mergeCell ref="A11:C11"/>
    <mergeCell ref="E11:F11"/>
    <mergeCell ref="B12:C12"/>
    <mergeCell ref="B13:C13"/>
    <mergeCell ref="B14:C14"/>
  </mergeCells>
  <dataValidations xWindow="1935" yWindow="909" count="2">
    <dataValidation type="list" allowBlank="1" showInputMessage="1" showErrorMessage="1" promptTitle="Select Assessment period" prompt="Please give the assessment period, which refers to the transport model. " sqref="F15" xr:uid="{00000000-0002-0000-0200-000000000000}">
      <formula1>AssessmentPeriod</formula1>
    </dataValidation>
    <dataValidation type="list" allowBlank="1" showInputMessage="1" showErrorMessage="1" promptTitle="Country Selection" prompt="Please select your country, so that all country-specific monetary values can be assigned automatically for the calculations." sqref="B17" xr:uid="{00000000-0002-0000-0200-000001000000}">
      <formula1>Countries</formula1>
    </dataValidation>
  </dataValidations>
  <pageMargins left="0.7" right="0.7" top="0.78740157499999996" bottom="0.78740157499999996" header="0.3" footer="0.3"/>
  <pageSetup paperSize="9" scale="7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6">
    <pageSetUpPr fitToPage="1"/>
  </sheetPr>
  <dimension ref="A1:CW73"/>
  <sheetViews>
    <sheetView topLeftCell="D1" zoomScaleNormal="100" workbookViewId="0">
      <pane ySplit="4" topLeftCell="A5" activePane="bottomLeft" state="frozen"/>
      <selection activeCell="F1" sqref="F1"/>
      <selection pane="bottomLeft" activeCell="M14" sqref="M14:O14"/>
    </sheetView>
  </sheetViews>
  <sheetFormatPr baseColWidth="10" defaultColWidth="11.42578125" defaultRowHeight="15" x14ac:dyDescent="0.25"/>
  <cols>
    <col min="1" max="1" width="15.5703125" customWidth="1"/>
    <col min="2" max="2" width="28.42578125" customWidth="1"/>
    <col min="3" max="3" width="61.28515625" customWidth="1"/>
    <col min="4" max="4" width="17.42578125" customWidth="1"/>
    <col min="5" max="5" width="18.140625" customWidth="1"/>
    <col min="6" max="6" width="17.85546875" customWidth="1"/>
    <col min="7" max="7" width="17.140625" customWidth="1"/>
    <col min="8" max="8" width="10.140625" customWidth="1"/>
    <col min="9" max="9" width="9.5703125" customWidth="1"/>
    <col min="10" max="10" width="14.42578125" customWidth="1"/>
    <col min="11" max="11" width="14" customWidth="1"/>
    <col min="12" max="12" width="14.42578125" customWidth="1"/>
    <col min="13" max="13" width="13.42578125" customWidth="1"/>
    <col min="14" max="14" width="13.140625" customWidth="1"/>
    <col min="15" max="15" width="13.5703125" customWidth="1"/>
    <col min="16" max="16" width="10.5703125" customWidth="1"/>
    <col min="17" max="17" width="10.42578125" customWidth="1"/>
    <col min="18" max="18" width="12.42578125" customWidth="1"/>
    <col min="19" max="19" width="10.42578125" customWidth="1"/>
    <col min="20" max="20" width="10" customWidth="1"/>
    <col min="21" max="21" width="10.140625" customWidth="1"/>
    <col min="22" max="22" width="14" customWidth="1"/>
    <col min="23" max="23" width="15.140625" customWidth="1"/>
    <col min="24" max="24" width="14" customWidth="1"/>
    <col min="25" max="25" width="13.5703125" customWidth="1"/>
    <col min="26" max="26" width="12.140625" customWidth="1"/>
    <col min="27" max="27" width="13.42578125" customWidth="1"/>
    <col min="28" max="95" width="11.42578125" style="13"/>
    <col min="96" max="101" width="11.42578125" style="95"/>
  </cols>
  <sheetData>
    <row r="1" spans="1:101" ht="24" customHeight="1" thickBot="1" x14ac:dyDescent="0.3">
      <c r="A1" s="355" t="s">
        <v>458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</row>
    <row r="2" spans="1:101" ht="19.5" thickBot="1" x14ac:dyDescent="0.3">
      <c r="A2" s="375" t="s">
        <v>412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376"/>
      <c r="R2" s="376"/>
      <c r="S2" s="376"/>
      <c r="T2" s="376"/>
      <c r="U2" s="376"/>
      <c r="V2" s="376"/>
      <c r="W2" s="376"/>
      <c r="X2" s="376"/>
      <c r="Y2" s="376"/>
      <c r="Z2" s="376"/>
      <c r="AA2" s="377"/>
    </row>
    <row r="3" spans="1:101" ht="18" customHeight="1" thickBot="1" x14ac:dyDescent="0.3">
      <c r="A3" s="381" t="s">
        <v>0</v>
      </c>
      <c r="B3" s="381" t="s">
        <v>376</v>
      </c>
      <c r="C3" s="381" t="s">
        <v>31</v>
      </c>
      <c r="D3" s="384" t="s">
        <v>227</v>
      </c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5"/>
      <c r="P3" s="386" t="s">
        <v>228</v>
      </c>
      <c r="Q3" s="384"/>
      <c r="R3" s="384"/>
      <c r="S3" s="384"/>
      <c r="T3" s="384"/>
      <c r="U3" s="384"/>
      <c r="V3" s="384"/>
      <c r="W3" s="384"/>
      <c r="X3" s="384"/>
      <c r="Y3" s="384"/>
      <c r="Z3" s="384"/>
      <c r="AA3" s="384"/>
    </row>
    <row r="4" spans="1:101" ht="64.7" customHeight="1" thickBot="1" x14ac:dyDescent="0.3">
      <c r="A4" s="381"/>
      <c r="B4" s="381"/>
      <c r="C4" s="381"/>
      <c r="D4" s="47" t="s">
        <v>231</v>
      </c>
      <c r="E4" s="47" t="s">
        <v>247</v>
      </c>
      <c r="F4" s="166" t="s">
        <v>246</v>
      </c>
      <c r="G4" s="47" t="s">
        <v>235</v>
      </c>
      <c r="H4" s="47" t="s">
        <v>236</v>
      </c>
      <c r="I4" s="47" t="s">
        <v>237</v>
      </c>
      <c r="J4" s="47" t="s">
        <v>233</v>
      </c>
      <c r="K4" s="47" t="s">
        <v>263</v>
      </c>
      <c r="L4" s="47" t="s">
        <v>234</v>
      </c>
      <c r="M4" s="166" t="s">
        <v>242</v>
      </c>
      <c r="N4" s="166" t="s">
        <v>243</v>
      </c>
      <c r="O4" s="130" t="s">
        <v>245</v>
      </c>
      <c r="P4" s="47" t="s">
        <v>231</v>
      </c>
      <c r="Q4" s="47" t="s">
        <v>232</v>
      </c>
      <c r="R4" s="166" t="s">
        <v>248</v>
      </c>
      <c r="S4" s="47" t="s">
        <v>235</v>
      </c>
      <c r="T4" s="47" t="s">
        <v>236</v>
      </c>
      <c r="U4" s="47" t="s">
        <v>237</v>
      </c>
      <c r="V4" s="47" t="s">
        <v>233</v>
      </c>
      <c r="W4" s="47" t="s">
        <v>263</v>
      </c>
      <c r="X4" s="47" t="s">
        <v>238</v>
      </c>
      <c r="Y4" s="47" t="s">
        <v>242</v>
      </c>
      <c r="Z4" s="47" t="s">
        <v>243</v>
      </c>
      <c r="AA4" s="47" t="s">
        <v>245</v>
      </c>
    </row>
    <row r="5" spans="1:101" ht="57.6" customHeight="1" thickBot="1" x14ac:dyDescent="0.3">
      <c r="A5" s="356" t="s">
        <v>377</v>
      </c>
      <c r="B5" s="57" t="s">
        <v>240</v>
      </c>
      <c r="C5" s="52" t="s">
        <v>378</v>
      </c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9"/>
      <c r="P5" s="170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</row>
    <row r="6" spans="1:101" s="97" customFormat="1" ht="44.45" customHeight="1" thickBot="1" x14ac:dyDescent="0.3">
      <c r="A6" s="356"/>
      <c r="B6" s="57" t="s">
        <v>241</v>
      </c>
      <c r="C6" s="52" t="s">
        <v>378</v>
      </c>
      <c r="D6" s="383"/>
      <c r="E6" s="383"/>
      <c r="F6" s="383"/>
      <c r="G6" s="383"/>
      <c r="H6" s="383"/>
      <c r="I6" s="383"/>
      <c r="J6" s="383"/>
      <c r="K6" s="383"/>
      <c r="L6" s="383"/>
      <c r="M6" s="221"/>
      <c r="N6" s="221"/>
      <c r="O6" s="222"/>
      <c r="P6" s="382"/>
      <c r="Q6" s="383"/>
      <c r="R6" s="383"/>
      <c r="S6" s="383"/>
      <c r="T6" s="383"/>
      <c r="U6" s="383"/>
      <c r="V6" s="383"/>
      <c r="W6" s="383"/>
      <c r="X6" s="383"/>
      <c r="Y6" s="221"/>
      <c r="Z6" s="221"/>
      <c r="AA6" s="221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96"/>
      <c r="CS6" s="96"/>
      <c r="CT6" s="96"/>
      <c r="CU6" s="96"/>
      <c r="CV6" s="96"/>
      <c r="CW6" s="96"/>
    </row>
    <row r="7" spans="1:101" ht="51.6" customHeight="1" thickBot="1" x14ac:dyDescent="0.3">
      <c r="A7" s="126" t="s">
        <v>261</v>
      </c>
      <c r="B7" s="224" t="s">
        <v>254</v>
      </c>
      <c r="C7" s="48" t="s">
        <v>476</v>
      </c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9"/>
      <c r="P7" s="170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74"/>
    </row>
    <row r="8" spans="1:101" s="97" customFormat="1" ht="45.75" thickBot="1" x14ac:dyDescent="0.3">
      <c r="A8" s="356" t="s">
        <v>379</v>
      </c>
      <c r="B8" s="224" t="s">
        <v>380</v>
      </c>
      <c r="C8" s="352" t="s">
        <v>411</v>
      </c>
      <c r="D8" s="173"/>
      <c r="E8" s="138"/>
      <c r="F8" s="173"/>
      <c r="G8" s="173"/>
      <c r="H8" s="138"/>
      <c r="I8" s="138"/>
      <c r="J8" s="138"/>
      <c r="K8" s="138"/>
      <c r="L8" s="138"/>
      <c r="M8" s="173"/>
      <c r="N8" s="138"/>
      <c r="O8" s="173"/>
      <c r="P8" s="173"/>
      <c r="Q8" s="138"/>
      <c r="R8" s="173"/>
      <c r="S8" s="173"/>
      <c r="T8" s="138"/>
      <c r="U8" s="138"/>
      <c r="V8" s="138"/>
      <c r="W8" s="138"/>
      <c r="X8" s="138"/>
      <c r="Y8" s="173"/>
      <c r="Z8" s="138"/>
      <c r="AA8" s="173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96"/>
      <c r="CS8" s="96"/>
      <c r="CT8" s="96"/>
      <c r="CU8" s="96"/>
      <c r="CV8" s="96"/>
      <c r="CW8" s="96"/>
    </row>
    <row r="9" spans="1:101" s="97" customFormat="1" ht="45.75" thickBot="1" x14ac:dyDescent="0.3">
      <c r="A9" s="356"/>
      <c r="B9" s="224" t="s">
        <v>381</v>
      </c>
      <c r="C9" s="353"/>
      <c r="D9" s="173"/>
      <c r="E9" s="138"/>
      <c r="F9" s="173"/>
      <c r="G9" s="173"/>
      <c r="H9" s="138"/>
      <c r="I9" s="138"/>
      <c r="J9" s="153"/>
      <c r="K9" s="138"/>
      <c r="L9" s="153"/>
      <c r="M9" s="173"/>
      <c r="N9" s="138"/>
      <c r="O9" s="173"/>
      <c r="P9" s="173"/>
      <c r="Q9" s="138"/>
      <c r="R9" s="173"/>
      <c r="S9" s="173"/>
      <c r="T9" s="138"/>
      <c r="U9" s="138"/>
      <c r="V9" s="153"/>
      <c r="W9" s="138"/>
      <c r="X9" s="153"/>
      <c r="Y9" s="173"/>
      <c r="Z9" s="138"/>
      <c r="AA9" s="173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  <c r="BM9" s="154"/>
      <c r="BN9" s="154"/>
      <c r="BO9" s="154"/>
      <c r="BP9" s="154"/>
      <c r="BQ9" s="154"/>
      <c r="BR9" s="154"/>
      <c r="BS9" s="154"/>
      <c r="BT9" s="154"/>
      <c r="BU9" s="154"/>
      <c r="BV9" s="154"/>
      <c r="BW9" s="154"/>
      <c r="BX9" s="154"/>
      <c r="BY9" s="154"/>
      <c r="BZ9" s="154"/>
      <c r="CA9" s="154"/>
      <c r="CB9" s="154"/>
      <c r="CC9" s="154"/>
      <c r="CD9" s="154"/>
      <c r="CE9" s="154"/>
      <c r="CF9" s="154"/>
      <c r="CG9" s="154"/>
      <c r="CH9" s="154"/>
      <c r="CI9" s="154"/>
      <c r="CJ9" s="154"/>
      <c r="CK9" s="154"/>
      <c r="CL9" s="154"/>
      <c r="CM9" s="154"/>
      <c r="CN9" s="154"/>
      <c r="CO9" s="154"/>
      <c r="CP9" s="154"/>
      <c r="CQ9" s="154"/>
      <c r="CR9" s="96"/>
      <c r="CS9" s="96"/>
      <c r="CT9" s="96"/>
      <c r="CU9" s="96"/>
      <c r="CV9" s="96"/>
      <c r="CW9" s="96"/>
    </row>
    <row r="10" spans="1:101" s="97" customFormat="1" ht="30" customHeight="1" thickBot="1" x14ac:dyDescent="0.3">
      <c r="A10" s="356"/>
      <c r="B10" s="224" t="s">
        <v>382</v>
      </c>
      <c r="C10" s="353"/>
      <c r="D10" s="173"/>
      <c r="E10" s="138"/>
      <c r="F10" s="173"/>
      <c r="G10" s="173"/>
      <c r="H10" s="138"/>
      <c r="I10" s="138"/>
      <c r="J10" s="138"/>
      <c r="K10" s="138"/>
      <c r="L10" s="138"/>
      <c r="M10" s="173"/>
      <c r="N10" s="138"/>
      <c r="O10" s="173"/>
      <c r="P10" s="173"/>
      <c r="Q10" s="138"/>
      <c r="R10" s="173"/>
      <c r="S10" s="173"/>
      <c r="T10" s="138"/>
      <c r="U10" s="138"/>
      <c r="V10" s="138"/>
      <c r="W10" s="138"/>
      <c r="X10" s="138"/>
      <c r="Y10" s="173"/>
      <c r="Z10" s="138"/>
      <c r="AA10" s="173"/>
      <c r="AB10" s="154"/>
      <c r="AC10" s="154"/>
      <c r="AD10" s="154"/>
      <c r="AE10" s="154"/>
      <c r="AF10" s="154"/>
      <c r="AG10" s="154"/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96"/>
      <c r="CS10" s="96"/>
      <c r="CT10" s="96"/>
      <c r="CU10" s="96"/>
      <c r="CV10" s="96"/>
      <c r="CW10" s="96"/>
    </row>
    <row r="11" spans="1:101" s="97" customFormat="1" ht="45.75" thickBot="1" x14ac:dyDescent="0.3">
      <c r="A11" s="356"/>
      <c r="B11" s="224" t="s">
        <v>383</v>
      </c>
      <c r="C11" s="354"/>
      <c r="D11" s="173"/>
      <c r="E11" s="138"/>
      <c r="F11" s="173"/>
      <c r="G11" s="173"/>
      <c r="H11" s="138"/>
      <c r="I11" s="138"/>
      <c r="J11" s="138"/>
      <c r="K11" s="138"/>
      <c r="L11" s="138"/>
      <c r="M11" s="173"/>
      <c r="N11" s="138"/>
      <c r="O11" s="173"/>
      <c r="P11" s="173"/>
      <c r="Q11" s="138"/>
      <c r="R11" s="173"/>
      <c r="S11" s="173"/>
      <c r="T11" s="138"/>
      <c r="U11" s="138"/>
      <c r="V11" s="138"/>
      <c r="W11" s="138"/>
      <c r="X11" s="138"/>
      <c r="Y11" s="173"/>
      <c r="Z11" s="138"/>
      <c r="AA11" s="173"/>
      <c r="AB11" s="154"/>
      <c r="AC11" s="154"/>
      <c r="AD11" s="154"/>
      <c r="AE11" s="154"/>
      <c r="AF11" s="154"/>
      <c r="AG11" s="154"/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  <c r="BI11" s="154"/>
      <c r="BJ11" s="154"/>
      <c r="BK11" s="154"/>
      <c r="BL11" s="154"/>
      <c r="BM11" s="154"/>
      <c r="BN11" s="154"/>
      <c r="BO11" s="154"/>
      <c r="BP11" s="154"/>
      <c r="BQ11" s="154"/>
      <c r="BR11" s="154"/>
      <c r="BS11" s="154"/>
      <c r="BT11" s="154"/>
      <c r="BU11" s="154"/>
      <c r="BV11" s="154"/>
      <c r="BW11" s="154"/>
      <c r="BX11" s="154"/>
      <c r="BY11" s="154"/>
      <c r="BZ11" s="154"/>
      <c r="CA11" s="154"/>
      <c r="CB11" s="154"/>
      <c r="CC11" s="154"/>
      <c r="CD11" s="154"/>
      <c r="CE11" s="154"/>
      <c r="CF11" s="154"/>
      <c r="CG11" s="154"/>
      <c r="CH11" s="154"/>
      <c r="CI11" s="154"/>
      <c r="CJ11" s="154"/>
      <c r="CK11" s="154"/>
      <c r="CL11" s="154"/>
      <c r="CM11" s="154"/>
      <c r="CN11" s="154"/>
      <c r="CO11" s="154"/>
      <c r="CP11" s="154"/>
      <c r="CQ11" s="154"/>
      <c r="CR11" s="96"/>
      <c r="CS11" s="96"/>
      <c r="CT11" s="96"/>
      <c r="CU11" s="96"/>
      <c r="CV11" s="96"/>
      <c r="CW11" s="96"/>
    </row>
    <row r="12" spans="1:101" ht="19.5" thickBot="1" x14ac:dyDescent="0.3">
      <c r="A12" s="375" t="s">
        <v>436</v>
      </c>
      <c r="B12" s="376"/>
      <c r="C12" s="376"/>
      <c r="D12" s="376"/>
      <c r="E12" s="376"/>
      <c r="F12" s="376"/>
      <c r="G12" s="376"/>
      <c r="H12" s="376"/>
      <c r="I12" s="376"/>
      <c r="J12" s="378"/>
      <c r="K12" s="378"/>
      <c r="L12" s="378"/>
      <c r="M12" s="378"/>
      <c r="N12" s="376"/>
      <c r="O12" s="376"/>
      <c r="P12" s="376"/>
      <c r="Q12" s="376"/>
      <c r="R12" s="376"/>
      <c r="S12" s="376"/>
      <c r="T12" s="376"/>
      <c r="U12" s="376"/>
      <c r="V12" s="376"/>
      <c r="W12" s="376"/>
      <c r="X12" s="376"/>
      <c r="Y12" s="376"/>
      <c r="Z12" s="376"/>
      <c r="AA12" s="377"/>
    </row>
    <row r="13" spans="1:101" ht="30.75" thickBot="1" x14ac:dyDescent="0.3">
      <c r="A13" s="360" t="s">
        <v>377</v>
      </c>
      <c r="B13" s="223" t="s">
        <v>426</v>
      </c>
      <c r="C13" s="225" t="s">
        <v>425</v>
      </c>
      <c r="D13" s="363" t="s">
        <v>194</v>
      </c>
      <c r="E13" s="364"/>
      <c r="F13" s="364"/>
      <c r="G13" s="364"/>
      <c r="H13" s="364"/>
      <c r="I13" s="364"/>
      <c r="J13" s="364"/>
      <c r="K13" s="364"/>
      <c r="L13" s="364"/>
      <c r="M13" s="364"/>
      <c r="N13" s="364"/>
      <c r="O13" s="371"/>
      <c r="P13" s="364" t="s">
        <v>194</v>
      </c>
      <c r="Q13" s="364"/>
      <c r="R13" s="364"/>
      <c r="S13" s="364"/>
      <c r="T13" s="364"/>
      <c r="U13" s="364"/>
      <c r="V13" s="364"/>
      <c r="W13" s="364"/>
      <c r="X13" s="364"/>
      <c r="Y13" s="364"/>
      <c r="Z13" s="364"/>
      <c r="AA13" s="364"/>
    </row>
    <row r="14" spans="1:101" ht="34.700000000000003" customHeight="1" thickBot="1" x14ac:dyDescent="0.3">
      <c r="A14" s="361"/>
      <c r="B14" s="220" t="s">
        <v>309</v>
      </c>
      <c r="C14" s="358" t="s">
        <v>427</v>
      </c>
      <c r="D14" s="363">
        <v>8</v>
      </c>
      <c r="E14" s="364"/>
      <c r="F14" s="365"/>
      <c r="G14" s="363">
        <v>8</v>
      </c>
      <c r="H14" s="364"/>
      <c r="I14" s="365"/>
      <c r="J14" s="363">
        <v>8</v>
      </c>
      <c r="K14" s="365"/>
      <c r="L14" s="226">
        <v>8</v>
      </c>
      <c r="M14" s="363">
        <v>8</v>
      </c>
      <c r="N14" s="364"/>
      <c r="O14" s="371"/>
      <c r="P14" s="364">
        <v>8</v>
      </c>
      <c r="Q14" s="364"/>
      <c r="R14" s="365"/>
      <c r="S14" s="363">
        <v>8</v>
      </c>
      <c r="T14" s="364"/>
      <c r="U14" s="365"/>
      <c r="V14" s="363">
        <v>8</v>
      </c>
      <c r="W14" s="365"/>
      <c r="X14" s="175">
        <v>8</v>
      </c>
      <c r="Y14" s="363">
        <v>8</v>
      </c>
      <c r="Z14" s="364"/>
      <c r="AA14" s="365"/>
    </row>
    <row r="15" spans="1:101" ht="50.1" customHeight="1" thickBot="1" x14ac:dyDescent="0.3">
      <c r="A15" s="362"/>
      <c r="B15" s="220" t="s">
        <v>386</v>
      </c>
      <c r="C15" s="359"/>
      <c r="D15" s="363">
        <v>320</v>
      </c>
      <c r="E15" s="364"/>
      <c r="F15" s="365"/>
      <c r="G15" s="363">
        <v>320</v>
      </c>
      <c r="H15" s="364"/>
      <c r="I15" s="365"/>
      <c r="J15" s="363">
        <v>320</v>
      </c>
      <c r="K15" s="365"/>
      <c r="L15" s="226">
        <v>320</v>
      </c>
      <c r="M15" s="363">
        <v>320</v>
      </c>
      <c r="N15" s="364"/>
      <c r="O15" s="371"/>
      <c r="P15" s="364">
        <v>320</v>
      </c>
      <c r="Q15" s="364"/>
      <c r="R15" s="365"/>
      <c r="S15" s="363">
        <v>320</v>
      </c>
      <c r="T15" s="364"/>
      <c r="U15" s="365"/>
      <c r="V15" s="363">
        <v>320</v>
      </c>
      <c r="W15" s="365"/>
      <c r="X15" s="175">
        <v>320</v>
      </c>
      <c r="Y15" s="363">
        <v>320</v>
      </c>
      <c r="Z15" s="364"/>
      <c r="AA15" s="365"/>
    </row>
    <row r="16" spans="1:101" ht="45.75" thickBot="1" x14ac:dyDescent="0.3">
      <c r="A16" s="360" t="s">
        <v>377</v>
      </c>
      <c r="B16" s="219" t="s">
        <v>416</v>
      </c>
      <c r="C16" s="144" t="s">
        <v>415</v>
      </c>
      <c r="D16" s="357">
        <v>0.1</v>
      </c>
      <c r="E16" s="357"/>
      <c r="F16" s="357"/>
      <c r="G16" s="357">
        <v>0.05</v>
      </c>
      <c r="H16" s="357"/>
      <c r="I16" s="357"/>
      <c r="J16" s="357">
        <v>0.08</v>
      </c>
      <c r="K16" s="357"/>
      <c r="L16" s="226">
        <v>0.08</v>
      </c>
      <c r="M16" s="357">
        <v>1</v>
      </c>
      <c r="N16" s="357"/>
      <c r="O16" s="387"/>
      <c r="P16" s="365">
        <v>0.1</v>
      </c>
      <c r="Q16" s="357"/>
      <c r="R16" s="357"/>
      <c r="S16" s="357">
        <v>0.05</v>
      </c>
      <c r="T16" s="357"/>
      <c r="U16" s="357"/>
      <c r="V16" s="357">
        <v>0.08</v>
      </c>
      <c r="W16" s="357"/>
      <c r="X16" s="175">
        <v>0.08</v>
      </c>
      <c r="Y16" s="357">
        <v>1</v>
      </c>
      <c r="Z16" s="357"/>
      <c r="AA16" s="357"/>
    </row>
    <row r="17" spans="1:27" ht="45.75" thickBot="1" x14ac:dyDescent="0.3">
      <c r="A17" s="361"/>
      <c r="B17" s="219" t="s">
        <v>417</v>
      </c>
      <c r="D17" s="357">
        <v>0.7</v>
      </c>
      <c r="E17" s="357"/>
      <c r="F17" s="357"/>
      <c r="G17" s="357">
        <v>0.7</v>
      </c>
      <c r="H17" s="357"/>
      <c r="I17" s="357"/>
      <c r="J17" s="357">
        <v>0.8</v>
      </c>
      <c r="K17" s="357"/>
      <c r="L17" s="226">
        <v>0.4</v>
      </c>
      <c r="M17" s="357">
        <v>0</v>
      </c>
      <c r="N17" s="357"/>
      <c r="O17" s="387"/>
      <c r="P17" s="365">
        <v>0.7</v>
      </c>
      <c r="Q17" s="357"/>
      <c r="R17" s="357"/>
      <c r="S17" s="357">
        <v>0.7</v>
      </c>
      <c r="T17" s="357"/>
      <c r="U17" s="357"/>
      <c r="V17" s="357">
        <v>0.8</v>
      </c>
      <c r="W17" s="357"/>
      <c r="X17" s="175">
        <v>0.4</v>
      </c>
      <c r="Y17" s="357">
        <v>0</v>
      </c>
      <c r="Z17" s="357"/>
      <c r="AA17" s="357"/>
    </row>
    <row r="18" spans="1:27" ht="45.75" thickBot="1" x14ac:dyDescent="0.3">
      <c r="A18" s="361"/>
      <c r="B18" s="219" t="s">
        <v>418</v>
      </c>
      <c r="D18" s="357">
        <v>0.2</v>
      </c>
      <c r="E18" s="357"/>
      <c r="F18" s="357"/>
      <c r="G18" s="357">
        <v>0.25</v>
      </c>
      <c r="H18" s="357"/>
      <c r="I18" s="357"/>
      <c r="J18" s="357">
        <v>0.12</v>
      </c>
      <c r="K18" s="357"/>
      <c r="L18" s="226">
        <v>0.52</v>
      </c>
      <c r="M18" s="357">
        <v>0</v>
      </c>
      <c r="N18" s="357"/>
      <c r="O18" s="387"/>
      <c r="P18" s="365">
        <v>0.2</v>
      </c>
      <c r="Q18" s="357"/>
      <c r="R18" s="357"/>
      <c r="S18" s="357">
        <v>0.25</v>
      </c>
      <c r="T18" s="357"/>
      <c r="U18" s="357"/>
      <c r="V18" s="357">
        <v>0.12</v>
      </c>
      <c r="W18" s="357"/>
      <c r="X18" s="175">
        <v>0.52</v>
      </c>
      <c r="Y18" s="357">
        <v>0</v>
      </c>
      <c r="Z18" s="357"/>
      <c r="AA18" s="357"/>
    </row>
    <row r="19" spans="1:27" ht="30.75" thickBot="1" x14ac:dyDescent="0.3">
      <c r="A19" s="361"/>
      <c r="B19" s="219" t="s">
        <v>421</v>
      </c>
      <c r="C19" s="379" t="s">
        <v>424</v>
      </c>
      <c r="D19" s="357">
        <v>1.1000000000000001</v>
      </c>
      <c r="E19" s="357"/>
      <c r="F19" s="357"/>
      <c r="G19" s="357">
        <v>20</v>
      </c>
      <c r="H19" s="357"/>
      <c r="I19" s="357"/>
      <c r="J19" s="357">
        <v>1</v>
      </c>
      <c r="K19" s="357"/>
      <c r="L19" s="226">
        <v>1</v>
      </c>
      <c r="M19" s="357">
        <v>1</v>
      </c>
      <c r="N19" s="357"/>
      <c r="O19" s="387"/>
      <c r="P19" s="365">
        <v>1.1000000000000001</v>
      </c>
      <c r="Q19" s="357"/>
      <c r="R19" s="357"/>
      <c r="S19" s="357">
        <v>20</v>
      </c>
      <c r="T19" s="357"/>
      <c r="U19" s="357"/>
      <c r="V19" s="357">
        <v>1</v>
      </c>
      <c r="W19" s="357"/>
      <c r="X19" s="175">
        <v>1</v>
      </c>
      <c r="Y19" s="357">
        <v>1</v>
      </c>
      <c r="Z19" s="357"/>
      <c r="AA19" s="357"/>
    </row>
    <row r="20" spans="1:27" ht="60.75" thickBot="1" x14ac:dyDescent="0.3">
      <c r="A20" s="361"/>
      <c r="B20" s="219" t="s">
        <v>422</v>
      </c>
      <c r="C20" s="379"/>
      <c r="D20" s="357">
        <v>1.5</v>
      </c>
      <c r="E20" s="357"/>
      <c r="F20" s="357"/>
      <c r="G20" s="357">
        <v>20</v>
      </c>
      <c r="H20" s="357"/>
      <c r="I20" s="357"/>
      <c r="J20" s="357">
        <v>1</v>
      </c>
      <c r="K20" s="357"/>
      <c r="L20" s="226">
        <v>1</v>
      </c>
      <c r="M20" s="357">
        <v>0</v>
      </c>
      <c r="N20" s="357"/>
      <c r="O20" s="387"/>
      <c r="P20" s="365">
        <v>1.5</v>
      </c>
      <c r="Q20" s="357"/>
      <c r="R20" s="357"/>
      <c r="S20" s="357">
        <v>20</v>
      </c>
      <c r="T20" s="357"/>
      <c r="U20" s="357"/>
      <c r="V20" s="357">
        <v>1</v>
      </c>
      <c r="W20" s="357"/>
      <c r="X20" s="175">
        <v>1</v>
      </c>
      <c r="Y20" s="357">
        <v>0</v>
      </c>
      <c r="Z20" s="357"/>
      <c r="AA20" s="357"/>
    </row>
    <row r="21" spans="1:27" ht="60.75" thickBot="1" x14ac:dyDescent="0.3">
      <c r="A21" s="362"/>
      <c r="B21" s="219" t="s">
        <v>423</v>
      </c>
      <c r="C21" s="380"/>
      <c r="D21" s="357">
        <v>1.7</v>
      </c>
      <c r="E21" s="357"/>
      <c r="F21" s="357"/>
      <c r="G21" s="357">
        <v>20</v>
      </c>
      <c r="H21" s="357"/>
      <c r="I21" s="357"/>
      <c r="J21" s="357">
        <v>1</v>
      </c>
      <c r="K21" s="357"/>
      <c r="L21" s="226">
        <v>1</v>
      </c>
      <c r="M21" s="357">
        <v>0</v>
      </c>
      <c r="N21" s="357"/>
      <c r="O21" s="387"/>
      <c r="P21" s="365">
        <v>1.7</v>
      </c>
      <c r="Q21" s="357"/>
      <c r="R21" s="357"/>
      <c r="S21" s="357">
        <v>20</v>
      </c>
      <c r="T21" s="357"/>
      <c r="U21" s="357"/>
      <c r="V21" s="357">
        <v>1</v>
      </c>
      <c r="W21" s="357"/>
      <c r="X21" s="175">
        <v>1</v>
      </c>
      <c r="Y21" s="357">
        <v>0</v>
      </c>
      <c r="Z21" s="357"/>
      <c r="AA21" s="357"/>
    </row>
    <row r="22" spans="1:27" ht="60.75" thickBot="1" x14ac:dyDescent="0.3">
      <c r="A22" s="366" t="s">
        <v>407</v>
      </c>
      <c r="B22" s="219" t="s">
        <v>404</v>
      </c>
      <c r="C22" s="368" t="s">
        <v>413</v>
      </c>
      <c r="D22" s="372"/>
      <c r="E22" s="373"/>
      <c r="F22" s="373"/>
      <c r="G22" s="373"/>
      <c r="H22" s="373"/>
      <c r="I22" s="373"/>
      <c r="J22" s="373"/>
      <c r="K22" s="373"/>
      <c r="L22" s="373"/>
      <c r="M22" s="373"/>
      <c r="N22" s="373"/>
      <c r="O22" s="374"/>
      <c r="P22" s="373">
        <f>D22</f>
        <v>0</v>
      </c>
      <c r="Q22" s="373"/>
      <c r="R22" s="373"/>
      <c r="S22" s="373"/>
      <c r="T22" s="373"/>
      <c r="U22" s="373"/>
      <c r="V22" s="373"/>
      <c r="W22" s="373"/>
      <c r="X22" s="373"/>
      <c r="Y22" s="373"/>
      <c r="Z22" s="373"/>
      <c r="AA22" s="397"/>
    </row>
    <row r="23" spans="1:27" ht="60.75" thickBot="1" x14ac:dyDescent="0.3">
      <c r="A23" s="366"/>
      <c r="B23" s="219" t="s">
        <v>405</v>
      </c>
      <c r="C23" s="369"/>
      <c r="D23" s="372"/>
      <c r="E23" s="373"/>
      <c r="F23" s="373"/>
      <c r="G23" s="373"/>
      <c r="H23" s="373"/>
      <c r="I23" s="373"/>
      <c r="J23" s="373"/>
      <c r="K23" s="373"/>
      <c r="L23" s="373"/>
      <c r="M23" s="373"/>
      <c r="N23" s="373"/>
      <c r="O23" s="374"/>
      <c r="P23" s="373"/>
      <c r="Q23" s="373"/>
      <c r="R23" s="373"/>
      <c r="S23" s="373"/>
      <c r="T23" s="373"/>
      <c r="U23" s="373"/>
      <c r="V23" s="373"/>
      <c r="W23" s="373"/>
      <c r="X23" s="373"/>
      <c r="Y23" s="373"/>
      <c r="Z23" s="373"/>
      <c r="AA23" s="397"/>
    </row>
    <row r="24" spans="1:27" ht="48.6" customHeight="1" thickBot="1" x14ac:dyDescent="0.3">
      <c r="A24" s="367"/>
      <c r="B24" s="219" t="s">
        <v>406</v>
      </c>
      <c r="C24" s="370"/>
      <c r="D24" s="372"/>
      <c r="E24" s="373"/>
      <c r="F24" s="373"/>
      <c r="G24" s="373"/>
      <c r="H24" s="373"/>
      <c r="I24" s="373"/>
      <c r="J24" s="373"/>
      <c r="K24" s="373"/>
      <c r="L24" s="373"/>
      <c r="M24" s="373"/>
      <c r="N24" s="373"/>
      <c r="O24" s="374"/>
      <c r="P24" s="373"/>
      <c r="Q24" s="373"/>
      <c r="R24" s="373"/>
      <c r="S24" s="373"/>
      <c r="T24" s="373"/>
      <c r="U24" s="373"/>
      <c r="V24" s="373"/>
      <c r="W24" s="373"/>
      <c r="X24" s="373"/>
      <c r="Y24" s="373"/>
      <c r="Z24" s="373"/>
      <c r="AA24" s="397"/>
    </row>
    <row r="25" spans="1:27" ht="19.7" customHeight="1" thickBot="1" x14ac:dyDescent="0.3">
      <c r="A25" s="375" t="s">
        <v>471</v>
      </c>
      <c r="B25" s="376"/>
      <c r="C25" s="376"/>
      <c r="D25" s="376"/>
      <c r="E25" s="376"/>
      <c r="F25" s="376"/>
      <c r="G25" s="376"/>
      <c r="H25" s="376"/>
      <c r="I25" s="376"/>
      <c r="J25" s="378"/>
      <c r="K25" s="378"/>
      <c r="L25" s="378"/>
      <c r="M25" s="378"/>
      <c r="N25" s="376"/>
      <c r="O25" s="376"/>
      <c r="P25" s="376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7"/>
    </row>
    <row r="26" spans="1:27" ht="45.75" thickBot="1" x14ac:dyDescent="0.3">
      <c r="A26" s="388" t="s">
        <v>0</v>
      </c>
      <c r="B26" s="388" t="s">
        <v>239</v>
      </c>
      <c r="C26" s="381" t="s">
        <v>31</v>
      </c>
      <c r="D26" s="43" t="s">
        <v>227</v>
      </c>
      <c r="E26" s="43" t="s">
        <v>228</v>
      </c>
      <c r="F26" s="43" t="s">
        <v>227</v>
      </c>
      <c r="G26" s="43" t="s">
        <v>228</v>
      </c>
      <c r="H26" s="25"/>
      <c r="I26" s="25"/>
      <c r="J26" s="25"/>
      <c r="K26" s="25"/>
      <c r="L26" s="25"/>
      <c r="M26" s="25"/>
      <c r="N26" s="25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ht="32.450000000000003" customHeight="1" thickBot="1" x14ac:dyDescent="0.3">
      <c r="A27" s="388"/>
      <c r="B27" s="388"/>
      <c r="C27" s="381"/>
      <c r="D27" s="394" t="s">
        <v>220</v>
      </c>
      <c r="E27" s="394"/>
      <c r="F27" s="394" t="s">
        <v>34</v>
      </c>
      <c r="G27" s="394"/>
      <c r="H27" s="25"/>
      <c r="I27" s="25"/>
      <c r="J27" s="25"/>
      <c r="K27" s="25"/>
      <c r="L27" s="25"/>
      <c r="M27" s="25"/>
      <c r="N27" s="25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ht="34.700000000000003" customHeight="1" thickBot="1" x14ac:dyDescent="0.3">
      <c r="A28" s="389" t="s">
        <v>385</v>
      </c>
      <c r="B28" s="59" t="s">
        <v>161</v>
      </c>
      <c r="C28" s="368" t="s">
        <v>384</v>
      </c>
      <c r="D28" s="168"/>
      <c r="E28" s="168"/>
      <c r="F28" s="168"/>
      <c r="G28" s="168"/>
      <c r="H28" s="25"/>
      <c r="I28" s="25"/>
      <c r="J28" s="25"/>
      <c r="K28" s="25"/>
      <c r="L28" s="25"/>
      <c r="M28" s="25"/>
      <c r="N28" s="25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ht="33" customHeight="1" thickBot="1" x14ac:dyDescent="0.3">
      <c r="A29" s="366"/>
      <c r="B29" s="59" t="s">
        <v>163</v>
      </c>
      <c r="C29" s="369"/>
      <c r="D29" s="168"/>
      <c r="E29" s="168"/>
      <c r="F29" s="168"/>
      <c r="G29" s="168"/>
      <c r="H29" s="25"/>
      <c r="I29" s="25"/>
      <c r="J29" s="25"/>
      <c r="K29" s="25"/>
      <c r="L29" s="25"/>
      <c r="M29" s="25"/>
      <c r="N29" s="25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45.6" customHeight="1" thickBot="1" x14ac:dyDescent="0.3">
      <c r="A30" s="366"/>
      <c r="B30" s="59" t="s">
        <v>162</v>
      </c>
      <c r="C30" s="370"/>
      <c r="D30" s="168"/>
      <c r="E30" s="168"/>
      <c r="F30" s="168"/>
      <c r="G30" s="168"/>
      <c r="H30" s="25"/>
      <c r="I30" s="25"/>
      <c r="J30" s="25"/>
      <c r="K30" s="25"/>
      <c r="L30" s="25"/>
      <c r="M30" s="25"/>
      <c r="N30" s="25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</row>
    <row r="31" spans="1:27" ht="19.350000000000001" customHeight="1" thickBot="1" x14ac:dyDescent="0.3">
      <c r="A31" s="395" t="s">
        <v>472</v>
      </c>
      <c r="B31" s="396"/>
      <c r="C31" s="396"/>
      <c r="D31" s="396"/>
      <c r="E31" s="396"/>
      <c r="F31" s="396"/>
      <c r="G31" s="396"/>
      <c r="H31" s="252"/>
      <c r="I31" s="252"/>
      <c r="J31" s="253"/>
      <c r="K31" s="253"/>
      <c r="L31" s="253"/>
      <c r="M31" s="253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  <c r="AA31" s="254"/>
    </row>
    <row r="32" spans="1:27" ht="30" customHeight="1" thickBot="1" x14ac:dyDescent="0.3">
      <c r="A32" s="388" t="s">
        <v>0</v>
      </c>
      <c r="B32" s="388" t="s">
        <v>239</v>
      </c>
      <c r="C32" s="381" t="s">
        <v>31</v>
      </c>
      <c r="D32" s="390" t="s">
        <v>227</v>
      </c>
      <c r="E32" s="391"/>
      <c r="F32" s="392" t="s">
        <v>228</v>
      </c>
      <c r="G32" s="393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</row>
    <row r="33" spans="1:101" ht="30.75" thickBot="1" x14ac:dyDescent="0.3">
      <c r="A33" s="388"/>
      <c r="B33" s="388"/>
      <c r="C33" s="381"/>
      <c r="D33" s="134" t="s">
        <v>158</v>
      </c>
      <c r="E33" s="134" t="s">
        <v>159</v>
      </c>
      <c r="F33" s="134" t="s">
        <v>158</v>
      </c>
      <c r="G33" s="134" t="s">
        <v>159</v>
      </c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</row>
    <row r="34" spans="1:101" ht="29.45" customHeight="1" thickBot="1" x14ac:dyDescent="0.3">
      <c r="A34" s="132" t="s">
        <v>435</v>
      </c>
      <c r="B34" s="60" t="s">
        <v>262</v>
      </c>
      <c r="C34" s="155" t="s">
        <v>434</v>
      </c>
      <c r="D34" s="177">
        <v>0.65</v>
      </c>
      <c r="E34" s="177">
        <v>0.35</v>
      </c>
      <c r="F34" s="177">
        <v>0.65</v>
      </c>
      <c r="G34" s="177">
        <v>0.35</v>
      </c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</row>
    <row r="35" spans="1:101" ht="13.35" customHeight="1" thickBot="1" x14ac:dyDescent="0.3">
      <c r="A35" s="251"/>
      <c r="B35" s="252"/>
      <c r="C35" s="252"/>
      <c r="D35" s="252"/>
      <c r="E35" s="252"/>
      <c r="F35" s="252"/>
      <c r="G35" s="252"/>
      <c r="H35" s="252"/>
      <c r="I35" s="252"/>
      <c r="J35" s="253"/>
      <c r="K35" s="253"/>
      <c r="L35" s="253"/>
      <c r="M35" s="253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4"/>
    </row>
    <row r="36" spans="1:101" s="25" customFormat="1" ht="13.35" customHeight="1" x14ac:dyDescent="0.25"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</row>
    <row r="37" spans="1:101" s="25" customFormat="1" x14ac:dyDescent="0.25"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</row>
    <row r="38" spans="1:101" s="25" customFormat="1" x14ac:dyDescent="0.25"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</row>
    <row r="39" spans="1:101" s="25" customFormat="1" x14ac:dyDescent="0.25"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</row>
    <row r="40" spans="1:101" s="25" customFormat="1" x14ac:dyDescent="0.25"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</row>
    <row r="41" spans="1:101" s="25" customFormat="1" x14ac:dyDescent="0.25"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</row>
    <row r="42" spans="1:101" s="25" customFormat="1" x14ac:dyDescent="0.25"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</row>
    <row r="43" spans="1:101" s="25" customFormat="1" x14ac:dyDescent="0.25"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</row>
    <row r="44" spans="1:101" s="25" customFormat="1" x14ac:dyDescent="0.25"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</row>
    <row r="45" spans="1:101" s="25" customFormat="1" x14ac:dyDescent="0.25"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</row>
    <row r="46" spans="1:101" s="25" customFormat="1" x14ac:dyDescent="0.25"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</row>
    <row r="47" spans="1:101" s="25" customFormat="1" x14ac:dyDescent="0.25"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</row>
    <row r="48" spans="1:101" s="25" customFormat="1" x14ac:dyDescent="0.25"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</row>
    <row r="49" spans="28:101" s="25" customFormat="1" x14ac:dyDescent="0.25"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</row>
    <row r="50" spans="28:101" s="25" customFormat="1" x14ac:dyDescent="0.25"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</row>
    <row r="51" spans="28:101" s="25" customFormat="1" x14ac:dyDescent="0.25"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</row>
    <row r="52" spans="28:101" s="25" customFormat="1" x14ac:dyDescent="0.25"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</row>
    <row r="53" spans="28:101" s="25" customFormat="1" x14ac:dyDescent="0.25"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</row>
    <row r="54" spans="28:101" s="25" customFormat="1" x14ac:dyDescent="0.25"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</row>
    <row r="55" spans="28:101" s="25" customFormat="1" x14ac:dyDescent="0.25"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</row>
    <row r="56" spans="28:101" s="25" customFormat="1" x14ac:dyDescent="0.25"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</row>
    <row r="57" spans="28:101" s="25" customFormat="1" x14ac:dyDescent="0.25"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</row>
    <row r="58" spans="28:101" s="25" customFormat="1" x14ac:dyDescent="0.25"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</row>
    <row r="59" spans="28:101" s="25" customFormat="1" x14ac:dyDescent="0.25"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</row>
    <row r="60" spans="28:101" s="25" customFormat="1" x14ac:dyDescent="0.25"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</row>
    <row r="61" spans="28:101" s="25" customFormat="1" x14ac:dyDescent="0.25"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</row>
    <row r="62" spans="28:101" s="25" customFormat="1" x14ac:dyDescent="0.25"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</row>
    <row r="63" spans="28:101" s="25" customFormat="1" x14ac:dyDescent="0.25"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</row>
    <row r="64" spans="28:101" s="25" customFormat="1" x14ac:dyDescent="0.25"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</row>
    <row r="65" spans="28:101" s="25" customFormat="1" x14ac:dyDescent="0.25"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</row>
    <row r="66" spans="28:101" s="25" customFormat="1" x14ac:dyDescent="0.25"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</row>
    <row r="67" spans="28:101" s="25" customFormat="1" x14ac:dyDescent="0.25"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</row>
    <row r="68" spans="28:101" s="25" customFormat="1" x14ac:dyDescent="0.25"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</row>
    <row r="69" spans="28:101" s="25" customFormat="1" x14ac:dyDescent="0.25"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</row>
    <row r="70" spans="28:101" s="25" customFormat="1" x14ac:dyDescent="0.25"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</row>
    <row r="71" spans="28:101" s="25" customFormat="1" x14ac:dyDescent="0.25"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</row>
    <row r="72" spans="28:101" s="25" customFormat="1" x14ac:dyDescent="0.25"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</row>
    <row r="73" spans="28:101" s="25" customFormat="1" x14ac:dyDescent="0.25"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</row>
  </sheetData>
  <sheetProtection algorithmName="SHA-512" hashValue="+mA7JPncGhpFYoGQFDcRa3lJcuFQKav3XfCWlW1zUlQ0DVdW/GuP+VXseujRIkp84GRg4p5K9QRSGsA3AIei/Q==" saltValue="F17QIQXdtHIye/q51aTT1Q==" spinCount="100000" sheet="1" objects="1" scenarios="1" selectLockedCells="1"/>
  <mergeCells count="105">
    <mergeCell ref="M16:O16"/>
    <mergeCell ref="M17:O17"/>
    <mergeCell ref="M18:O18"/>
    <mergeCell ref="M19:O19"/>
    <mergeCell ref="M20:O20"/>
    <mergeCell ref="P16:R16"/>
    <mergeCell ref="P17:R17"/>
    <mergeCell ref="P18:R18"/>
    <mergeCell ref="P19:R19"/>
    <mergeCell ref="D24:O24"/>
    <mergeCell ref="P22:AA22"/>
    <mergeCell ref="P23:AA23"/>
    <mergeCell ref="P24:AA24"/>
    <mergeCell ref="C26:C27"/>
    <mergeCell ref="J18:K18"/>
    <mergeCell ref="J19:K19"/>
    <mergeCell ref="J20:K20"/>
    <mergeCell ref="J21:K21"/>
    <mergeCell ref="P21:R21"/>
    <mergeCell ref="S21:U21"/>
    <mergeCell ref="A32:A33"/>
    <mergeCell ref="B32:B33"/>
    <mergeCell ref="C32:C33"/>
    <mergeCell ref="A28:A30"/>
    <mergeCell ref="C28:C30"/>
    <mergeCell ref="A25:AA25"/>
    <mergeCell ref="D32:E32"/>
    <mergeCell ref="F32:G32"/>
    <mergeCell ref="F27:G27"/>
    <mergeCell ref="B26:B27"/>
    <mergeCell ref="A26:A27"/>
    <mergeCell ref="D27:E27"/>
    <mergeCell ref="A31:G31"/>
    <mergeCell ref="A2:AA2"/>
    <mergeCell ref="A12:AA12"/>
    <mergeCell ref="C19:C21"/>
    <mergeCell ref="C3:C4"/>
    <mergeCell ref="B3:B4"/>
    <mergeCell ref="A3:A4"/>
    <mergeCell ref="P6:X6"/>
    <mergeCell ref="D3:O3"/>
    <mergeCell ref="P3:AA3"/>
    <mergeCell ref="D6:L6"/>
    <mergeCell ref="A5:A6"/>
    <mergeCell ref="G17:I17"/>
    <mergeCell ref="G18:I18"/>
    <mergeCell ref="G19:I19"/>
    <mergeCell ref="G20:I20"/>
    <mergeCell ref="G21:I21"/>
    <mergeCell ref="S18:U18"/>
    <mergeCell ref="M14:O14"/>
    <mergeCell ref="M15:O15"/>
    <mergeCell ref="G14:I14"/>
    <mergeCell ref="G15:I15"/>
    <mergeCell ref="D14:F14"/>
    <mergeCell ref="D15:F15"/>
    <mergeCell ref="M21:O21"/>
    <mergeCell ref="A13:A15"/>
    <mergeCell ref="A16:A21"/>
    <mergeCell ref="Y14:AA14"/>
    <mergeCell ref="Y15:AA15"/>
    <mergeCell ref="A22:A24"/>
    <mergeCell ref="C22:C24"/>
    <mergeCell ref="V14:W14"/>
    <mergeCell ref="V15:W15"/>
    <mergeCell ref="S14:U14"/>
    <mergeCell ref="S15:U15"/>
    <mergeCell ref="P14:R14"/>
    <mergeCell ref="P15:R15"/>
    <mergeCell ref="D19:F19"/>
    <mergeCell ref="J16:K16"/>
    <mergeCell ref="J17:K17"/>
    <mergeCell ref="J14:K14"/>
    <mergeCell ref="J15:K15"/>
    <mergeCell ref="P20:R20"/>
    <mergeCell ref="D20:F20"/>
    <mergeCell ref="D21:F21"/>
    <mergeCell ref="D13:O13"/>
    <mergeCell ref="P13:AA13"/>
    <mergeCell ref="D22:O22"/>
    <mergeCell ref="D23:O23"/>
    <mergeCell ref="C8:C11"/>
    <mergeCell ref="A1:AA1"/>
    <mergeCell ref="A8:A11"/>
    <mergeCell ref="Y16:AA16"/>
    <mergeCell ref="Y17:AA17"/>
    <mergeCell ref="Y18:AA18"/>
    <mergeCell ref="Y19:AA19"/>
    <mergeCell ref="Y20:AA20"/>
    <mergeCell ref="Y21:AA21"/>
    <mergeCell ref="V16:W16"/>
    <mergeCell ref="V17:W17"/>
    <mergeCell ref="V18:W18"/>
    <mergeCell ref="V19:W19"/>
    <mergeCell ref="C14:C15"/>
    <mergeCell ref="G16:I16"/>
    <mergeCell ref="D16:F16"/>
    <mergeCell ref="D17:F17"/>
    <mergeCell ref="D18:F18"/>
    <mergeCell ref="V20:W20"/>
    <mergeCell ref="V21:W21"/>
    <mergeCell ref="S16:U16"/>
    <mergeCell ref="S17:U17"/>
    <mergeCell ref="S19:U19"/>
    <mergeCell ref="S20:U20"/>
  </mergeCells>
  <pageMargins left="0.25" right="0.25" top="0.75" bottom="0.39" header="0.3" footer="0.3"/>
  <pageSetup paperSize="8" scale="61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13"/>
  <dimension ref="A1:AF54"/>
  <sheetViews>
    <sheetView zoomScaleNormal="100" workbookViewId="0">
      <selection activeCell="B7" sqref="B7"/>
    </sheetView>
  </sheetViews>
  <sheetFormatPr baseColWidth="10" defaultColWidth="11.42578125" defaultRowHeight="15" x14ac:dyDescent="0.25"/>
  <cols>
    <col min="1" max="1" width="34" customWidth="1"/>
    <col min="2" max="2" width="19.85546875" customWidth="1"/>
    <col min="3" max="3" width="17.85546875" customWidth="1"/>
    <col min="4" max="4" width="17.42578125" customWidth="1"/>
    <col min="5" max="5" width="15.85546875" customWidth="1"/>
    <col min="6" max="6" width="11.5703125" customWidth="1"/>
    <col min="7" max="7" width="15.5703125" customWidth="1"/>
    <col min="8" max="8" width="16.42578125" customWidth="1"/>
    <col min="9" max="9" width="21" customWidth="1"/>
    <col min="10" max="10" width="19" customWidth="1"/>
    <col min="11" max="11" width="20.42578125" customWidth="1"/>
    <col min="12" max="12" width="19.85546875" customWidth="1"/>
    <col min="13" max="13" width="25.5703125" customWidth="1"/>
    <col min="14" max="14" width="14.42578125" customWidth="1"/>
    <col min="15" max="15" width="20.5703125" customWidth="1"/>
    <col min="16" max="16" width="14.42578125" customWidth="1"/>
    <col min="17" max="17" width="20.5703125" customWidth="1"/>
    <col min="18" max="18" width="14.42578125" customWidth="1"/>
    <col min="19" max="19" width="20.5703125" customWidth="1"/>
    <col min="20" max="20" width="14.140625" customWidth="1"/>
    <col min="21" max="21" width="23" customWidth="1"/>
    <col min="22" max="22" width="15.42578125" style="25" customWidth="1"/>
    <col min="23" max="24" width="17.5703125" style="25" customWidth="1"/>
    <col min="25" max="26" width="15.42578125" style="25" customWidth="1"/>
    <col min="27" max="27" width="13.85546875" style="25" bestFit="1" customWidth="1"/>
    <col min="28" max="31" width="15.42578125" style="25" bestFit="1" customWidth="1"/>
    <col min="32" max="32" width="13.140625" style="25" customWidth="1"/>
    <col min="33" max="33" width="15.42578125" bestFit="1" customWidth="1"/>
    <col min="34" max="34" width="12.5703125" customWidth="1"/>
    <col min="35" max="37" width="15.42578125" bestFit="1" customWidth="1"/>
    <col min="38" max="38" width="16.42578125" bestFit="1" customWidth="1"/>
    <col min="39" max="39" width="15.42578125" bestFit="1" customWidth="1"/>
    <col min="42" max="42" width="12.42578125" customWidth="1"/>
  </cols>
  <sheetData>
    <row r="1" spans="1:32" ht="24.75" customHeight="1" thickBot="1" x14ac:dyDescent="0.3">
      <c r="A1" s="425" t="s">
        <v>457</v>
      </c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</row>
    <row r="2" spans="1:32" ht="21.6" customHeight="1" thickBot="1" x14ac:dyDescent="0.3">
      <c r="A2" s="375" t="s">
        <v>473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376"/>
      <c r="R2" s="376"/>
      <c r="S2" s="376"/>
      <c r="T2" s="376"/>
      <c r="U2" s="376"/>
      <c r="V2" s="238"/>
      <c r="W2" s="238"/>
      <c r="X2" s="238"/>
      <c r="Y2" s="238"/>
      <c r="Z2" s="238"/>
      <c r="AA2" s="239"/>
      <c r="AB2" s="163"/>
      <c r="AC2" s="163"/>
      <c r="AD2" s="163"/>
      <c r="AE2" s="163"/>
      <c r="AF2" s="163"/>
    </row>
    <row r="3" spans="1:32" s="25" customFormat="1" ht="24" thickBot="1" x14ac:dyDescent="0.3">
      <c r="A3" s="426" t="s">
        <v>441</v>
      </c>
      <c r="B3" s="427"/>
      <c r="C3" s="427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</row>
    <row r="4" spans="1:32" s="25" customFormat="1" ht="30.75" thickBot="1" x14ac:dyDescent="0.3">
      <c r="A4" s="164" t="s">
        <v>65</v>
      </c>
      <c r="B4" s="423">
        <v>0.03</v>
      </c>
      <c r="C4" s="424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</row>
    <row r="5" spans="1:32" s="25" customFormat="1" ht="24.75" customHeight="1" thickBot="1" x14ac:dyDescent="0.3">
      <c r="A5" s="217" t="s">
        <v>443</v>
      </c>
      <c r="B5" s="231" t="s">
        <v>442</v>
      </c>
      <c r="C5" s="231" t="s">
        <v>67</v>
      </c>
      <c r="D5" s="242" t="s">
        <v>474</v>
      </c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</row>
    <row r="6" spans="1:32" s="25" customFormat="1" ht="30.75" thickBot="1" x14ac:dyDescent="0.3">
      <c r="A6" s="164" t="s">
        <v>444</v>
      </c>
      <c r="B6" s="278"/>
      <c r="C6" s="279">
        <v>25</v>
      </c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</row>
    <row r="7" spans="1:32" s="25" customFormat="1" ht="30.75" thickBot="1" x14ac:dyDescent="0.3">
      <c r="A7" s="164" t="s">
        <v>445</v>
      </c>
      <c r="B7" s="278"/>
      <c r="C7" s="279">
        <v>75</v>
      </c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</row>
    <row r="8" spans="1:32" s="25" customFormat="1" ht="30.75" thickBot="1" x14ac:dyDescent="0.3">
      <c r="A8" s="164" t="s">
        <v>446</v>
      </c>
      <c r="B8" s="278"/>
      <c r="C8" s="279">
        <v>10</v>
      </c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</row>
    <row r="9" spans="1:32" s="25" customFormat="1" ht="24.75" customHeight="1" thickBot="1" x14ac:dyDescent="0.3">
      <c r="A9" s="164" t="s">
        <v>447</v>
      </c>
      <c r="B9" s="278"/>
      <c r="C9" s="279">
        <v>15</v>
      </c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</row>
    <row r="10" spans="1:32" s="25" customFormat="1" ht="24.75" customHeight="1" thickBot="1" x14ac:dyDescent="0.3">
      <c r="A10" s="164" t="s">
        <v>448</v>
      </c>
      <c r="B10" s="278"/>
      <c r="C10" s="280">
        <v>0.5</v>
      </c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</row>
    <row r="11" spans="1:32" s="25" customFormat="1" ht="44.1" customHeight="1" thickBot="1" x14ac:dyDescent="0.3">
      <c r="A11" s="164" t="s">
        <v>449</v>
      </c>
      <c r="B11" s="278"/>
      <c r="C11" s="279">
        <v>2</v>
      </c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</row>
    <row r="12" spans="1:32" s="25" customFormat="1" ht="24.75" customHeight="1" thickBot="1" x14ac:dyDescent="0.3">
      <c r="A12" s="164" t="s">
        <v>450</v>
      </c>
      <c r="B12" s="278"/>
      <c r="C12" s="279">
        <v>2</v>
      </c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</row>
    <row r="13" spans="1:32" s="25" customFormat="1" ht="24.75" customHeight="1" x14ac:dyDescent="0.25">
      <c r="A13" s="164"/>
      <c r="B13" s="164"/>
      <c r="C13" s="165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</row>
    <row r="14" spans="1:32" s="25" customFormat="1" ht="37.35" customHeight="1" thickBot="1" x14ac:dyDescent="0.3">
      <c r="A14" s="426" t="s">
        <v>451</v>
      </c>
      <c r="B14" s="427"/>
      <c r="C14" s="165"/>
      <c r="D14" s="163"/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63"/>
      <c r="P14" s="163"/>
      <c r="Q14" s="163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</row>
    <row r="15" spans="1:32" s="25" customFormat="1" ht="24" customHeight="1" thickBot="1" x14ac:dyDescent="0.3">
      <c r="A15" s="217" t="s">
        <v>443</v>
      </c>
      <c r="B15" s="231" t="s">
        <v>468</v>
      </c>
      <c r="C15" s="242" t="s">
        <v>474</v>
      </c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</row>
    <row r="16" spans="1:32" s="25" customFormat="1" ht="18.600000000000001" customHeight="1" thickBot="1" x14ac:dyDescent="0.3">
      <c r="A16" s="164" t="s">
        <v>452</v>
      </c>
      <c r="B16" s="278"/>
      <c r="C16" s="165"/>
      <c r="D16" s="163"/>
      <c r="E16" s="163"/>
      <c r="F16" s="163"/>
      <c r="G16" s="163"/>
      <c r="H16" s="163"/>
      <c r="I16" s="163"/>
      <c r="J16" s="163"/>
      <c r="K16" s="163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</row>
    <row r="17" spans="1:32" s="25" customFormat="1" ht="18" customHeight="1" thickBot="1" x14ac:dyDescent="0.3">
      <c r="A17" s="164" t="s">
        <v>453</v>
      </c>
      <c r="B17" s="278"/>
      <c r="C17" s="165"/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</row>
    <row r="18" spans="1:32" s="25" customFormat="1" ht="19.350000000000001" customHeight="1" thickBot="1" x14ac:dyDescent="0.3">
      <c r="A18" s="164" t="s">
        <v>454</v>
      </c>
      <c r="B18" s="278"/>
      <c r="C18" s="165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</row>
    <row r="19" spans="1:32" s="25" customFormat="1" ht="15" customHeight="1" thickBot="1" x14ac:dyDescent="0.3">
      <c r="A19" s="164" t="s">
        <v>455</v>
      </c>
      <c r="B19" s="278"/>
      <c r="C19" s="165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</row>
    <row r="20" spans="1:32" s="25" customFormat="1" ht="19.350000000000001" customHeight="1" thickBot="1" x14ac:dyDescent="0.3">
      <c r="A20" s="164" t="s">
        <v>456</v>
      </c>
      <c r="B20" s="278"/>
      <c r="C20" s="165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</row>
    <row r="21" spans="1:32" s="25" customFormat="1" ht="24" customHeight="1" thickBot="1" x14ac:dyDescent="0.3">
      <c r="A21" s="428" t="s">
        <v>460</v>
      </c>
      <c r="B21" s="429"/>
      <c r="C21" s="429"/>
      <c r="D21" s="429"/>
      <c r="E21" s="429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  <c r="Q21" s="281"/>
      <c r="R21" s="281"/>
      <c r="S21" s="281"/>
      <c r="T21" s="281"/>
      <c r="U21" s="281"/>
      <c r="V21" s="238"/>
      <c r="W21" s="238"/>
      <c r="X21" s="238"/>
      <c r="Y21" s="238"/>
      <c r="Z21" s="238"/>
      <c r="AA21" s="239"/>
      <c r="AB21" s="163"/>
      <c r="AC21" s="163"/>
      <c r="AD21" s="163"/>
      <c r="AE21" s="163"/>
      <c r="AF21" s="163"/>
    </row>
    <row r="22" spans="1:32" ht="18" customHeight="1" thickBot="1" x14ac:dyDescent="0.3">
      <c r="A22" s="282" t="s">
        <v>152</v>
      </c>
      <c r="B22" s="398" t="s">
        <v>227</v>
      </c>
      <c r="C22" s="398"/>
      <c r="D22" s="398"/>
      <c r="E22" s="398"/>
      <c r="F22" s="398"/>
      <c r="G22" s="398"/>
      <c r="H22" s="398"/>
      <c r="I22" s="398"/>
      <c r="J22" s="398"/>
      <c r="K22" s="399"/>
      <c r="L22" s="419" t="s">
        <v>228</v>
      </c>
      <c r="M22" s="398"/>
      <c r="N22" s="398"/>
      <c r="O22" s="398"/>
      <c r="P22" s="398"/>
      <c r="Q22" s="398"/>
      <c r="R22" s="398"/>
      <c r="S22" s="398"/>
      <c r="T22" s="398"/>
      <c r="U22" s="398"/>
    </row>
    <row r="23" spans="1:32" ht="45" customHeight="1" thickBot="1" x14ac:dyDescent="0.3">
      <c r="A23" s="401" t="s">
        <v>189</v>
      </c>
      <c r="B23" s="400" t="s">
        <v>190</v>
      </c>
      <c r="C23" s="400"/>
      <c r="D23" s="400" t="s">
        <v>186</v>
      </c>
      <c r="E23" s="400"/>
      <c r="F23" s="400" t="s">
        <v>187</v>
      </c>
      <c r="G23" s="400"/>
      <c r="H23" s="400" t="s">
        <v>264</v>
      </c>
      <c r="I23" s="400"/>
      <c r="J23" s="400" t="s">
        <v>191</v>
      </c>
      <c r="K23" s="430"/>
      <c r="L23" s="402" t="s">
        <v>190</v>
      </c>
      <c r="M23" s="400"/>
      <c r="N23" s="400" t="s">
        <v>186</v>
      </c>
      <c r="O23" s="400"/>
      <c r="P23" s="400" t="s">
        <v>391</v>
      </c>
      <c r="Q23" s="400"/>
      <c r="R23" s="400" t="s">
        <v>264</v>
      </c>
      <c r="S23" s="400"/>
      <c r="T23" s="400" t="s">
        <v>191</v>
      </c>
      <c r="U23" s="400"/>
    </row>
    <row r="24" spans="1:32" ht="47.45" customHeight="1" thickBot="1" x14ac:dyDescent="0.3">
      <c r="A24" s="401"/>
      <c r="B24" s="283" t="s">
        <v>188</v>
      </c>
      <c r="C24" s="283" t="s">
        <v>192</v>
      </c>
      <c r="D24" s="283" t="s">
        <v>188</v>
      </c>
      <c r="E24" s="283" t="s">
        <v>192</v>
      </c>
      <c r="F24" s="283" t="s">
        <v>188</v>
      </c>
      <c r="G24" s="283" t="s">
        <v>192</v>
      </c>
      <c r="H24" s="283" t="s">
        <v>188</v>
      </c>
      <c r="I24" s="283" t="s">
        <v>192</v>
      </c>
      <c r="J24" s="283" t="s">
        <v>188</v>
      </c>
      <c r="K24" s="284" t="s">
        <v>229</v>
      </c>
      <c r="L24" s="285" t="s">
        <v>188</v>
      </c>
      <c r="M24" s="283" t="s">
        <v>192</v>
      </c>
      <c r="N24" s="283" t="s">
        <v>188</v>
      </c>
      <c r="O24" s="283" t="s">
        <v>192</v>
      </c>
      <c r="P24" s="283" t="s">
        <v>188</v>
      </c>
      <c r="Q24" s="283" t="s">
        <v>192</v>
      </c>
      <c r="R24" s="283" t="s">
        <v>188</v>
      </c>
      <c r="S24" s="283" t="s">
        <v>192</v>
      </c>
      <c r="T24" s="283" t="s">
        <v>188</v>
      </c>
      <c r="U24" s="283" t="s">
        <v>229</v>
      </c>
    </row>
    <row r="25" spans="1:32" ht="25.5" customHeight="1" thickBot="1" x14ac:dyDescent="0.3">
      <c r="A25" s="286" t="s">
        <v>184</v>
      </c>
      <c r="B25" s="287">
        <f>'4. Input_traffic data'!D16</f>
        <v>0.1</v>
      </c>
      <c r="C25" s="288">
        <f>VLOOKUP('3. General project description'!$B$17,Countries_list!$A$2:$K$32,5,FALSE)</f>
        <v>40.409337120434508</v>
      </c>
      <c r="D25" s="287">
        <f>'4. Input_traffic data'!G16</f>
        <v>0.05</v>
      </c>
      <c r="E25" s="288">
        <f>VLOOKUP('3. General project description'!$B$17,Countries_list!$A$2:$K$32,8,FALSE)</f>
        <v>32.417397151533066</v>
      </c>
      <c r="F25" s="287">
        <f>'4. Input_traffic data'!J16</f>
        <v>0.08</v>
      </c>
      <c r="G25" s="288">
        <f>VLOOKUP('3. General project description'!$B$17,Countries_list!$A$2:$K$32,5,FALSE)</f>
        <v>40.409337120434508</v>
      </c>
      <c r="H25" s="287">
        <f>'4. Input_traffic data'!L16</f>
        <v>0.08</v>
      </c>
      <c r="I25" s="288">
        <f>VLOOKUP('3. General project description'!$B$17,Countries_list!$A$2:$K$32,5,FALSE)</f>
        <v>40.409337120434508</v>
      </c>
      <c r="J25" s="289">
        <f>'4. Input_traffic data'!M16</f>
        <v>1</v>
      </c>
      <c r="K25" s="288">
        <f>VLOOKUP('3. General project description'!$B$17,Countries_list!$A$2:$K$32,11,FALSE)</f>
        <v>4.8444790374103102</v>
      </c>
      <c r="L25" s="290">
        <f>'4. Input_traffic data'!P16</f>
        <v>0.1</v>
      </c>
      <c r="M25" s="288">
        <f>VLOOKUP('3. General project description'!$B$17,Countries_list!$A$2:$K$32,5,FALSE)</f>
        <v>40.409337120434508</v>
      </c>
      <c r="N25" s="287">
        <f>'4. Input_traffic data'!S16</f>
        <v>0.05</v>
      </c>
      <c r="O25" s="288">
        <f>VLOOKUP('3. General project description'!$B$17,Countries_list!$A$2:$K$32,8,FALSE)</f>
        <v>32.417397151533066</v>
      </c>
      <c r="P25" s="287">
        <f>'4. Input_traffic data'!V16</f>
        <v>0.08</v>
      </c>
      <c r="Q25" s="288">
        <f>VLOOKUP('3. General project description'!$B$17,Countries_list!$A$2:$K$32,5,FALSE)</f>
        <v>40.409337120434508</v>
      </c>
      <c r="R25" s="287">
        <f>'4. Input_traffic data'!X16</f>
        <v>0.08</v>
      </c>
      <c r="S25" s="288">
        <f>VLOOKUP('3. General project description'!$B$17,Countries_list!$A$2:$K$32,5,FALSE)</f>
        <v>40.409337120434508</v>
      </c>
      <c r="T25" s="289">
        <f>'4. Input_traffic data'!Y16</f>
        <v>1</v>
      </c>
      <c r="U25" s="288">
        <f>VLOOKUP('3. General project description'!$B$17,Countries_list!$A$2:$K$32,11,FALSE)</f>
        <v>4.8444790374103102</v>
      </c>
    </row>
    <row r="26" spans="1:32" ht="30.75" thickBot="1" x14ac:dyDescent="0.3">
      <c r="A26" s="291" t="s">
        <v>174</v>
      </c>
      <c r="B26" s="287">
        <f>'4. Input_traffic data'!D17</f>
        <v>0.7</v>
      </c>
      <c r="C26" s="288">
        <f>VLOOKUP('3. General project description'!$B$17,Countries_list!$A$2:$K$32,6,FALSE)</f>
        <v>11.661560317598472</v>
      </c>
      <c r="D26" s="287">
        <f>'4. Input_traffic data'!G17</f>
        <v>0.7</v>
      </c>
      <c r="E26" s="288">
        <f>VLOOKUP('3. General project description'!$B$17,Countries_list!$A$2:$K$32,9,FALSE)</f>
        <v>8.3835595318058669</v>
      </c>
      <c r="F26" s="287">
        <f>'4. Input_traffic data'!J17</f>
        <v>0.8</v>
      </c>
      <c r="G26" s="288">
        <f>VLOOKUP('3. General project description'!$B$17,Countries_list!$A$2:$K$32,6,FALSE)</f>
        <v>11.661560317598472</v>
      </c>
      <c r="H26" s="287">
        <f>'4. Input_traffic data'!L17</f>
        <v>0.4</v>
      </c>
      <c r="I26" s="288">
        <f>VLOOKUP('3. General project description'!$B$17,Countries_list!$A$2:$K$32,6,FALSE)</f>
        <v>11.661560317598472</v>
      </c>
      <c r="J26" s="289">
        <f>'4. Input_traffic data'!M17</f>
        <v>0</v>
      </c>
      <c r="K26" s="292"/>
      <c r="L26" s="290">
        <f>'4. Input_traffic data'!P17</f>
        <v>0.7</v>
      </c>
      <c r="M26" s="288">
        <f>VLOOKUP('3. General project description'!$B$17,Countries_list!$A$2:$K$32,6,FALSE)</f>
        <v>11.661560317598472</v>
      </c>
      <c r="N26" s="287">
        <f>'4. Input_traffic data'!S17</f>
        <v>0.7</v>
      </c>
      <c r="O26" s="288">
        <f>VLOOKUP('3. General project description'!$B$17,Countries_list!$A$2:$K$32,9,FALSE)</f>
        <v>8.3835595318058669</v>
      </c>
      <c r="P26" s="287">
        <f>'4. Input_traffic data'!V17</f>
        <v>0.8</v>
      </c>
      <c r="Q26" s="288">
        <f>VLOOKUP('3. General project description'!$B$17,Countries_list!$A$2:$K$32,6,FALSE)</f>
        <v>11.661560317598472</v>
      </c>
      <c r="R26" s="287">
        <f>'4. Input_traffic data'!X17</f>
        <v>0.4</v>
      </c>
      <c r="S26" s="288">
        <f>VLOOKUP('3. General project description'!$B$17,Countries_list!$A$2:$K$32,6,FALSE)</f>
        <v>11.661560317598472</v>
      </c>
      <c r="T26" s="289">
        <f>'4. Input_traffic data'!Y17</f>
        <v>0</v>
      </c>
      <c r="U26" s="293"/>
    </row>
    <row r="27" spans="1:32" ht="30.75" thickBot="1" x14ac:dyDescent="0.3">
      <c r="A27" s="291" t="s">
        <v>185</v>
      </c>
      <c r="B27" s="287">
        <f>'4. Input_traffic data'!D18</f>
        <v>0.2</v>
      </c>
      <c r="C27" s="288">
        <f>VLOOKUP('3. General project description'!$B$17,Countries_list!$A$2:$K$32,7,FALSE)</f>
        <v>9.7759846443549385</v>
      </c>
      <c r="D27" s="287">
        <f>'4. Input_traffic data'!G18</f>
        <v>0.25</v>
      </c>
      <c r="E27" s="288">
        <f>VLOOKUP('3. General project description'!$B$17,Countries_list!$A$2:$K$32,10,FALSE)</f>
        <v>7.0346477040239535</v>
      </c>
      <c r="F27" s="287">
        <f>'4. Input_traffic data'!J18</f>
        <v>0.12</v>
      </c>
      <c r="G27" s="288">
        <f>VLOOKUP('3. General project description'!$B$17,Countries_list!$A$2:$K$32,7,FALSE)</f>
        <v>9.7759846443549385</v>
      </c>
      <c r="H27" s="287">
        <f>'4. Input_traffic data'!L18</f>
        <v>0.52</v>
      </c>
      <c r="I27" s="288">
        <f>VLOOKUP('3. General project description'!$B$17,Countries_list!$A$2:$K$32,7,FALSE)</f>
        <v>9.7759846443549385</v>
      </c>
      <c r="J27" s="289">
        <f>'4. Input_traffic data'!M18</f>
        <v>0</v>
      </c>
      <c r="K27" s="294"/>
      <c r="L27" s="290">
        <f>'4. Input_traffic data'!P18</f>
        <v>0.2</v>
      </c>
      <c r="M27" s="288">
        <f>VLOOKUP('3. General project description'!$B$17,Countries_list!$A$2:$K$32,7,FALSE)</f>
        <v>9.7759846443549385</v>
      </c>
      <c r="N27" s="287">
        <f>'4. Input_traffic data'!S18</f>
        <v>0.25</v>
      </c>
      <c r="O27" s="288">
        <f>VLOOKUP('3. General project description'!$B$17,Countries_list!$A$2:$K$32,10,FALSE)</f>
        <v>7.0346477040239535</v>
      </c>
      <c r="P27" s="287">
        <f>'4. Input_traffic data'!V18</f>
        <v>0.12</v>
      </c>
      <c r="Q27" s="288">
        <f>VLOOKUP('3. General project description'!$B$17,Countries_list!$A$2:$K$32,7,FALSE)</f>
        <v>9.7759846443549385</v>
      </c>
      <c r="R27" s="287">
        <f>'4. Input_traffic data'!X18</f>
        <v>0.52</v>
      </c>
      <c r="S27" s="288">
        <f>VLOOKUP('3. General project description'!$B$17,Countries_list!$A$2:$K$32,7,FALSE)</f>
        <v>9.7759846443549385</v>
      </c>
      <c r="T27" s="289">
        <f>'4. Input_traffic data'!Y18</f>
        <v>0</v>
      </c>
      <c r="U27" s="293"/>
    </row>
    <row r="28" spans="1:32" s="32" customFormat="1" ht="30.75" thickBot="1" x14ac:dyDescent="0.3">
      <c r="A28" s="295" t="s">
        <v>230</v>
      </c>
      <c r="B28" s="403">
        <f>B25*C25+B26*C26+B27*C27</f>
        <v>14.159222863233369</v>
      </c>
      <c r="C28" s="403"/>
      <c r="D28" s="403">
        <f>D25*E25+D26*E26+D27*E27</f>
        <v>9.2480234558467487</v>
      </c>
      <c r="E28" s="403"/>
      <c r="F28" s="403">
        <f>F25*G25+F26*G26+F27*G27</f>
        <v>13.735113381036131</v>
      </c>
      <c r="G28" s="403"/>
      <c r="H28" s="403">
        <f>H25*I25+H26*I26+H27*I27</f>
        <v>12.980883111738716</v>
      </c>
      <c r="I28" s="403"/>
      <c r="J28" s="403">
        <f>J25*K25+J26*K26+J27*K27</f>
        <v>4.8444790374103102</v>
      </c>
      <c r="K28" s="404"/>
      <c r="L28" s="405">
        <f>L25*M25+L26*M26+L27*M27</f>
        <v>14.159222863233369</v>
      </c>
      <c r="M28" s="403"/>
      <c r="N28" s="403">
        <f>N25*O25+N26*O26+N27*O27</f>
        <v>9.2480234558467487</v>
      </c>
      <c r="O28" s="403"/>
      <c r="P28" s="403">
        <f>P25*Q25+P26*Q26+P27*Q27</f>
        <v>13.735113381036131</v>
      </c>
      <c r="Q28" s="403"/>
      <c r="R28" s="403">
        <f>R25*S25+R26*S26+R27*S27</f>
        <v>12.980883111738716</v>
      </c>
      <c r="S28" s="403"/>
      <c r="T28" s="403">
        <f>T25*U25+T26*U26+T27*U27</f>
        <v>4.8444790374103102</v>
      </c>
      <c r="U28" s="403"/>
    </row>
    <row r="29" spans="1:32" s="1" customFormat="1" ht="11.25" customHeight="1" thickBot="1" x14ac:dyDescent="0.3">
      <c r="A29" s="411"/>
      <c r="B29" s="411"/>
      <c r="C29" s="411"/>
      <c r="D29" s="411"/>
      <c r="E29" s="411"/>
      <c r="F29" s="411"/>
      <c r="G29" s="411"/>
      <c r="H29" s="411"/>
      <c r="I29" s="411"/>
      <c r="J29" s="411"/>
      <c r="K29" s="411"/>
      <c r="L29" s="411"/>
      <c r="M29" s="411"/>
      <c r="N29" s="411"/>
      <c r="O29" s="411"/>
      <c r="P29" s="411"/>
      <c r="Q29" s="411"/>
      <c r="R29" s="411"/>
      <c r="S29" s="411"/>
      <c r="T29" s="411"/>
      <c r="U29" s="411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</row>
    <row r="30" spans="1:32" s="1" customFormat="1" ht="18.600000000000001" customHeight="1" thickBot="1" x14ac:dyDescent="0.3">
      <c r="A30" s="412" t="s">
        <v>393</v>
      </c>
      <c r="B30" s="413"/>
      <c r="C30" s="413"/>
      <c r="D30" s="413"/>
      <c r="E30" s="414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 ht="60.75" thickBot="1" x14ac:dyDescent="0.3">
      <c r="A31" s="296" t="s">
        <v>392</v>
      </c>
      <c r="B31" s="297" t="s">
        <v>202</v>
      </c>
      <c r="C31" s="297" t="s">
        <v>204</v>
      </c>
      <c r="D31" s="297" t="s">
        <v>205</v>
      </c>
      <c r="E31" s="297" t="s">
        <v>203</v>
      </c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</row>
    <row r="32" spans="1:32" ht="24.75" customHeight="1" thickBot="1" x14ac:dyDescent="0.3">
      <c r="A32" s="298" t="s">
        <v>221</v>
      </c>
      <c r="B32" s="406">
        <f>VLOOKUP('3. General project description'!$B$17,Countries_list!$A$1:$N$32,12, FALSE)</f>
        <v>2409185.5332750077</v>
      </c>
      <c r="C32" s="407"/>
      <c r="D32" s="407"/>
      <c r="E32" s="408"/>
      <c r="F32" s="409"/>
      <c r="G32" s="409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</row>
    <row r="33" spans="1:32" ht="20.25" customHeight="1" thickBot="1" x14ac:dyDescent="0.3">
      <c r="A33" s="298" t="s">
        <v>222</v>
      </c>
      <c r="B33" s="406">
        <f>VLOOKUP('3. General project description'!$B$17,Countries_list!$A$1:$N$32,13, FALSE)</f>
        <v>332731.58418620517</v>
      </c>
      <c r="C33" s="407"/>
      <c r="D33" s="407"/>
      <c r="E33" s="408"/>
      <c r="F33" s="409"/>
      <c r="G33" s="409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</row>
    <row r="34" spans="1:32" ht="24" customHeight="1" thickBot="1" x14ac:dyDescent="0.3">
      <c r="A34" s="298" t="s">
        <v>223</v>
      </c>
      <c r="B34" s="406">
        <f>VLOOKUP('3. General project description'!$B$17,Countries_list!$A$1:$N$32,14, FALSE)</f>
        <v>26978.236555638257</v>
      </c>
      <c r="C34" s="407"/>
      <c r="D34" s="407"/>
      <c r="E34" s="408"/>
      <c r="F34" s="409"/>
      <c r="G34" s="409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</row>
    <row r="35" spans="1:32" ht="12" customHeight="1" x14ac:dyDescent="0.25">
      <c r="A35" s="411"/>
      <c r="B35" s="411"/>
      <c r="C35" s="411"/>
      <c r="D35" s="411"/>
      <c r="E35" s="411"/>
      <c r="F35" s="411"/>
      <c r="G35" s="411"/>
      <c r="H35" s="411"/>
      <c r="I35" s="411"/>
      <c r="J35" s="411"/>
      <c r="K35" s="411"/>
      <c r="L35" s="411"/>
      <c r="M35" s="411"/>
      <c r="N35" s="411"/>
      <c r="O35" s="411"/>
      <c r="P35" s="411"/>
      <c r="Q35" s="411"/>
      <c r="R35" s="411"/>
      <c r="S35" s="411"/>
      <c r="T35" s="411"/>
      <c r="U35" s="411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</row>
    <row r="36" spans="1:32" ht="39" customHeight="1" thickBot="1" x14ac:dyDescent="0.3">
      <c r="A36" s="415" t="s">
        <v>394</v>
      </c>
      <c r="B36" s="416"/>
      <c r="C36" s="416"/>
      <c r="D36" s="299"/>
      <c r="E36" s="299"/>
      <c r="F36" s="300"/>
      <c r="G36" s="301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</row>
    <row r="37" spans="1:32" ht="45.75" thickBot="1" x14ac:dyDescent="0.3">
      <c r="A37" s="296" t="s">
        <v>239</v>
      </c>
      <c r="B37" s="297" t="s">
        <v>224</v>
      </c>
      <c r="C37" s="297" t="s">
        <v>34</v>
      </c>
      <c r="D37" s="420"/>
      <c r="E37" s="420"/>
      <c r="F37" s="300"/>
      <c r="G37" s="301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</row>
    <row r="38" spans="1:32" ht="59.45" customHeight="1" thickBot="1" x14ac:dyDescent="0.3">
      <c r="A38" s="302" t="s">
        <v>225</v>
      </c>
      <c r="B38" s="410">
        <f>VLOOKUP('3. General project description'!$B$17,Countries_list!$A$1:$N$32,12, FALSE)</f>
        <v>2409185.5332750077</v>
      </c>
      <c r="C38" s="410"/>
      <c r="D38" s="409"/>
      <c r="E38" s="409"/>
      <c r="F38" s="300"/>
      <c r="G38" s="301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</row>
    <row r="39" spans="1:32" ht="12.75" customHeight="1" x14ac:dyDescent="0.25">
      <c r="A39" s="411"/>
      <c r="B39" s="411"/>
      <c r="C39" s="411"/>
      <c r="D39" s="411"/>
      <c r="E39" s="411"/>
      <c r="F39" s="411"/>
      <c r="G39" s="411"/>
      <c r="H39" s="411"/>
      <c r="I39" s="411"/>
      <c r="J39" s="411"/>
      <c r="K39" s="411"/>
      <c r="L39" s="411"/>
      <c r="M39" s="411"/>
      <c r="N39" s="411"/>
      <c r="O39" s="411"/>
      <c r="P39" s="411"/>
      <c r="Q39" s="411"/>
      <c r="R39" s="411"/>
      <c r="S39" s="411"/>
      <c r="T39" s="411"/>
      <c r="U39" s="411"/>
      <c r="V39" s="240"/>
      <c r="W39" s="240"/>
      <c r="X39" s="240"/>
      <c r="Y39" s="240"/>
      <c r="Z39" s="240"/>
      <c r="AA39" s="240"/>
      <c r="AB39" s="240"/>
      <c r="AC39" s="240"/>
      <c r="AD39" s="240"/>
      <c r="AE39" s="240"/>
      <c r="AF39" s="240"/>
    </row>
    <row r="40" spans="1:32" ht="20.25" customHeight="1" thickBot="1" x14ac:dyDescent="0.3">
      <c r="A40" s="415" t="s">
        <v>464</v>
      </c>
      <c r="B40" s="416"/>
      <c r="C40" s="416"/>
      <c r="D40" s="416"/>
      <c r="E40" s="416"/>
      <c r="F40" s="416"/>
      <c r="G40" s="416"/>
      <c r="H40" s="416"/>
      <c r="I40" s="416"/>
      <c r="J40" s="416"/>
      <c r="K40" s="416"/>
      <c r="L40" s="416"/>
      <c r="M40" s="416"/>
      <c r="N40" s="303"/>
      <c r="O40" s="303"/>
      <c r="P40" s="303"/>
      <c r="Q40" s="303"/>
      <c r="R40" s="303"/>
      <c r="S40" s="303"/>
      <c r="T40" s="303"/>
      <c r="U40" s="303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</row>
    <row r="41" spans="1:32" ht="56.25" customHeight="1" thickBot="1" x14ac:dyDescent="0.3">
      <c r="A41" s="296" t="s">
        <v>239</v>
      </c>
      <c r="B41" s="297" t="s">
        <v>231</v>
      </c>
      <c r="C41" s="297" t="s">
        <v>247</v>
      </c>
      <c r="D41" s="297" t="s">
        <v>246</v>
      </c>
      <c r="E41" s="297" t="s">
        <v>235</v>
      </c>
      <c r="F41" s="297" t="s">
        <v>236</v>
      </c>
      <c r="G41" s="297" t="s">
        <v>237</v>
      </c>
      <c r="H41" s="297" t="s">
        <v>233</v>
      </c>
      <c r="I41" s="297" t="s">
        <v>234</v>
      </c>
      <c r="J41" s="297" t="s">
        <v>242</v>
      </c>
      <c r="K41" s="297" t="s">
        <v>243</v>
      </c>
      <c r="L41" s="297" t="s">
        <v>245</v>
      </c>
      <c r="M41" s="304" t="s">
        <v>31</v>
      </c>
      <c r="N41" s="82"/>
      <c r="O41" s="82"/>
      <c r="P41" s="82"/>
      <c r="Q41" s="82"/>
      <c r="R41" s="82"/>
      <c r="S41" s="82"/>
      <c r="T41" s="82"/>
      <c r="U41" s="82"/>
    </row>
    <row r="42" spans="1:32" ht="30.75" thickBot="1" x14ac:dyDescent="0.3">
      <c r="A42" s="305" t="s">
        <v>259</v>
      </c>
      <c r="B42" s="421">
        <f>VLOOKUP('3. General project description'!$B$17,Countries_list!$A$2:$O$32,15,FALSE)</f>
        <v>0.9486692015209125</v>
      </c>
      <c r="C42" s="421"/>
      <c r="D42" s="421"/>
      <c r="E42" s="421"/>
      <c r="F42" s="421"/>
      <c r="G42" s="421"/>
      <c r="H42" s="421"/>
      <c r="I42" s="421"/>
      <c r="J42" s="421"/>
      <c r="K42" s="421"/>
      <c r="L42" s="421"/>
      <c r="M42" s="422" t="s">
        <v>465</v>
      </c>
      <c r="N42" s="82"/>
      <c r="O42" s="82"/>
      <c r="P42" s="82"/>
      <c r="Q42" s="82"/>
      <c r="R42" s="82"/>
      <c r="S42" s="82"/>
      <c r="T42" s="82"/>
      <c r="U42" s="82"/>
    </row>
    <row r="43" spans="1:32" ht="30.75" thickBot="1" x14ac:dyDescent="0.3">
      <c r="A43" s="306" t="s">
        <v>199</v>
      </c>
      <c r="B43" s="307">
        <f>Countries_list!B38*$B$42</f>
        <v>0.12798994758873586</v>
      </c>
      <c r="C43" s="307">
        <f>Countries_list!C38*$B$42</f>
        <v>0</v>
      </c>
      <c r="D43" s="307">
        <f>Countries_list!D38*$B$42</f>
        <v>0.12798994758873586</v>
      </c>
      <c r="E43" s="307">
        <f>Countries_list!E38*$B$42</f>
        <v>0.15918077515237733</v>
      </c>
      <c r="F43" s="307">
        <f>Countries_list!F38*$B$42</f>
        <v>0</v>
      </c>
      <c r="G43" s="307">
        <f>Countries_list!G38*$B$42</f>
        <v>5.6920152091254748</v>
      </c>
      <c r="H43" s="307">
        <f>Countries_list!H38*$B$42</f>
        <v>5.162619734671698E-2</v>
      </c>
      <c r="I43" s="307">
        <f>Countries_list!I38*$B$42</f>
        <v>0</v>
      </c>
      <c r="J43" s="307">
        <f>Countries_list!J38*$B$42</f>
        <v>0.18284278226962264</v>
      </c>
      <c r="K43" s="307">
        <f>Countries_list!K38*$B$42</f>
        <v>0</v>
      </c>
      <c r="L43" s="307">
        <f>Countries_list!L38*$B$42</f>
        <v>0.18284278226962264</v>
      </c>
      <c r="M43" s="422"/>
      <c r="N43" s="82"/>
      <c r="O43" s="82"/>
      <c r="P43" s="82"/>
      <c r="Q43" s="82"/>
      <c r="R43" s="82"/>
      <c r="S43" s="82"/>
      <c r="T43" s="82"/>
      <c r="U43" s="82"/>
    </row>
    <row r="44" spans="1:32" ht="30.75" thickBot="1" x14ac:dyDescent="0.3">
      <c r="A44" s="306" t="s">
        <v>200</v>
      </c>
      <c r="B44" s="307">
        <f>Countries_list!B39*$B$42</f>
        <v>6.2381655127283011</v>
      </c>
      <c r="C44" s="307">
        <f>Countries_list!C39*$B$42</f>
        <v>0</v>
      </c>
      <c r="D44" s="307">
        <f>Countries_list!D39*$B$42</f>
        <v>6.2381655127283011</v>
      </c>
      <c r="E44" s="307">
        <f>Countries_list!E39*$B$42</f>
        <v>9.1744054868228293</v>
      </c>
      <c r="F44" s="307">
        <f>Countries_list!F39*$B$42</f>
        <v>0</v>
      </c>
      <c r="G44" s="307">
        <f>Countries_list!G39*$B$42</f>
        <v>0</v>
      </c>
      <c r="H44" s="307">
        <f>Countries_list!H39*$B$42</f>
        <v>0.87119208022584904</v>
      </c>
      <c r="I44" s="307">
        <f>Countries_list!I39*$B$42</f>
        <v>0</v>
      </c>
      <c r="J44" s="307">
        <f>Countries_list!J39*$B$42</f>
        <v>8.5290780199888676</v>
      </c>
      <c r="K44" s="307">
        <f>Countries_list!K39*$B$42</f>
        <v>0</v>
      </c>
      <c r="L44" s="307">
        <f>Countries_list!L39*$B$42</f>
        <v>8.5290780199888676</v>
      </c>
      <c r="M44" s="422"/>
      <c r="N44" s="82"/>
      <c r="O44" s="82"/>
      <c r="P44" s="82"/>
      <c r="Q44" s="82"/>
      <c r="R44" s="82"/>
      <c r="S44" s="82"/>
      <c r="T44" s="82"/>
      <c r="U44" s="82"/>
    </row>
    <row r="45" spans="1:32" ht="15.75" thickBot="1" x14ac:dyDescent="0.3">
      <c r="A45" s="306" t="s">
        <v>198</v>
      </c>
      <c r="B45" s="307">
        <f>Countries_list!B40*$B$42</f>
        <v>0</v>
      </c>
      <c r="C45" s="307">
        <f>Countries_list!C40*$B$42</f>
        <v>0</v>
      </c>
      <c r="D45" s="307">
        <f>Countries_list!D40*$B$42</f>
        <v>0</v>
      </c>
      <c r="E45" s="307">
        <f>Countries_list!E40*$B$42</f>
        <v>22.027177534599247</v>
      </c>
      <c r="F45" s="307">
        <f>Countries_list!F40*$B$42</f>
        <v>0</v>
      </c>
      <c r="G45" s="307">
        <f>Countries_list!G40*$B$42</f>
        <v>0</v>
      </c>
      <c r="H45" s="307">
        <f>Countries_list!H40*$B$42</f>
        <v>0</v>
      </c>
      <c r="I45" s="307">
        <f>Countries_list!I40*$B$42</f>
        <v>0</v>
      </c>
      <c r="J45" s="307">
        <f>Countries_list!J40*$B$42</f>
        <v>18.488631924793022</v>
      </c>
      <c r="K45" s="307">
        <f>Countries_list!K40*$B$42</f>
        <v>18.488631924793022</v>
      </c>
      <c r="L45" s="307">
        <f>Countries_list!L40*$B$42</f>
        <v>18.488631924793022</v>
      </c>
      <c r="M45" s="422"/>
      <c r="N45" s="82"/>
      <c r="O45" s="82"/>
      <c r="P45" s="82"/>
      <c r="Q45" s="82"/>
      <c r="R45" s="82"/>
      <c r="S45" s="82"/>
      <c r="T45" s="82"/>
      <c r="U45" s="82"/>
    </row>
    <row r="46" spans="1:32" ht="12.75" customHeight="1" thickBot="1" x14ac:dyDescent="0.3">
      <c r="A46" s="411"/>
      <c r="B46" s="411"/>
      <c r="C46" s="411"/>
      <c r="D46" s="411"/>
      <c r="E46" s="411"/>
      <c r="F46" s="411"/>
      <c r="G46" s="411"/>
      <c r="H46" s="411"/>
      <c r="I46" s="411"/>
      <c r="J46" s="411"/>
      <c r="K46" s="411"/>
      <c r="L46" s="411"/>
      <c r="M46" s="411"/>
      <c r="N46" s="411"/>
      <c r="O46" s="411"/>
      <c r="P46" s="411"/>
      <c r="Q46" s="411"/>
      <c r="R46" s="411"/>
      <c r="S46" s="411"/>
      <c r="T46" s="411"/>
      <c r="U46" s="411"/>
      <c r="V46" s="240"/>
      <c r="W46" s="240"/>
      <c r="X46" s="240"/>
      <c r="Y46" s="240"/>
      <c r="Z46" s="240"/>
      <c r="AA46" s="240"/>
      <c r="AB46" s="240"/>
      <c r="AC46" s="240"/>
      <c r="AD46" s="240"/>
      <c r="AE46" s="240"/>
      <c r="AF46" s="240"/>
    </row>
    <row r="47" spans="1:32" ht="24" customHeight="1" thickBot="1" x14ac:dyDescent="0.3">
      <c r="A47" s="417" t="s">
        <v>153</v>
      </c>
      <c r="B47" s="418"/>
      <c r="C47" s="418"/>
      <c r="D47" s="419"/>
      <c r="E47" s="306"/>
      <c r="F47" s="306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</row>
    <row r="48" spans="1:32" ht="15.75" thickBot="1" x14ac:dyDescent="0.3">
      <c r="A48" s="296" t="s">
        <v>239</v>
      </c>
      <c r="B48" s="297" t="s">
        <v>8</v>
      </c>
      <c r="C48" s="297" t="s">
        <v>7</v>
      </c>
      <c r="D48" s="297" t="s">
        <v>150</v>
      </c>
      <c r="E48" s="306"/>
      <c r="F48" s="306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</row>
    <row r="49" spans="1:32" ht="44.25" customHeight="1" thickBot="1" x14ac:dyDescent="0.3">
      <c r="A49" s="306" t="s">
        <v>219</v>
      </c>
      <c r="B49" s="308">
        <f>VLOOKUP('3. General project description'!$B$17,Countries_list!$A$1:$V$32,20, FALSE)</f>
        <v>0.65449999999999997</v>
      </c>
      <c r="C49" s="308">
        <f>VLOOKUP('3. General project description'!$B$17,Countries_list!$A$1:$V$32,21, FALSE)</f>
        <v>0.63860000000000006</v>
      </c>
      <c r="D49" s="308">
        <f>VLOOKUP('3. General project description'!$B$17,Countries_list!$A$1:$V$32,22, FALSE)</f>
        <v>0.14299999999999999</v>
      </c>
      <c r="E49" s="306"/>
      <c r="F49" s="306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</row>
    <row r="50" spans="1:32" ht="12.75" customHeight="1" thickBot="1" x14ac:dyDescent="0.3">
      <c r="A50" s="411"/>
      <c r="B50" s="411"/>
      <c r="C50" s="411"/>
      <c r="D50" s="411"/>
      <c r="E50" s="411"/>
      <c r="F50" s="411"/>
      <c r="G50" s="411"/>
      <c r="H50" s="411"/>
      <c r="I50" s="411"/>
      <c r="J50" s="411"/>
      <c r="K50" s="411"/>
      <c r="L50" s="411"/>
      <c r="M50" s="411"/>
      <c r="N50" s="411"/>
      <c r="O50" s="411"/>
      <c r="P50" s="411"/>
      <c r="Q50" s="411"/>
      <c r="R50" s="411"/>
      <c r="S50" s="411"/>
      <c r="T50" s="411"/>
      <c r="U50" s="411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</row>
    <row r="51" spans="1:32" ht="24.75" customHeight="1" thickBot="1" x14ac:dyDescent="0.3">
      <c r="A51" s="417" t="s">
        <v>275</v>
      </c>
      <c r="B51" s="418"/>
      <c r="C51" s="418"/>
      <c r="D51" s="419"/>
      <c r="E51" s="302"/>
      <c r="F51" s="302"/>
      <c r="G51" s="309"/>
      <c r="H51" s="303"/>
      <c r="I51" s="303"/>
      <c r="J51" s="303"/>
      <c r="K51" s="303"/>
      <c r="L51" s="303"/>
      <c r="M51" s="303"/>
      <c r="N51" s="303"/>
      <c r="O51" s="303"/>
      <c r="P51" s="303"/>
      <c r="Q51" s="303"/>
      <c r="R51" s="303"/>
      <c r="S51" s="303"/>
      <c r="T51" s="303"/>
      <c r="U51" s="303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</row>
    <row r="52" spans="1:32" ht="18.75" thickBot="1" x14ac:dyDescent="0.3">
      <c r="A52" s="296" t="s">
        <v>395</v>
      </c>
      <c r="B52" s="297" t="s">
        <v>277</v>
      </c>
      <c r="C52" s="297" t="s">
        <v>276</v>
      </c>
      <c r="D52" s="297" t="s">
        <v>310</v>
      </c>
      <c r="E52" s="302"/>
      <c r="F52" s="302"/>
      <c r="G52" s="30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</row>
    <row r="53" spans="1:32" ht="50.25" customHeight="1" thickBot="1" x14ac:dyDescent="0.3">
      <c r="A53" s="310" t="s">
        <v>278</v>
      </c>
      <c r="B53" s="311">
        <f>VLOOKUP('3. General project description'!$B$17,Countries_list!$A$1:$Z$32,23, FALSE)</f>
        <v>176.51358619872929</v>
      </c>
      <c r="C53" s="311">
        <f>VLOOKUP('3. General project description'!$B$17,Countries_list!$A$1:$Z$32,24, FALSE)</f>
        <v>15354.264004957959</v>
      </c>
      <c r="D53" s="311">
        <f>VLOOKUP('3. General project description'!$B$17,Countries_list!$A$1:$Z$32,25, FALSE)</f>
        <v>520231.48041995353</v>
      </c>
      <c r="E53" s="302"/>
      <c r="F53" s="302"/>
      <c r="G53" s="30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</row>
    <row r="54" spans="1:32" x14ac:dyDescent="0.25">
      <c r="A54" s="411"/>
      <c r="B54" s="411"/>
      <c r="C54" s="411"/>
      <c r="D54" s="411"/>
      <c r="E54" s="411"/>
      <c r="F54" s="411"/>
      <c r="G54" s="411"/>
      <c r="H54" s="411"/>
      <c r="I54" s="411"/>
      <c r="J54" s="411"/>
      <c r="K54" s="411"/>
      <c r="L54" s="411"/>
      <c r="M54" s="411"/>
      <c r="N54" s="411"/>
      <c r="O54" s="411"/>
      <c r="P54" s="411"/>
      <c r="Q54" s="411"/>
      <c r="R54" s="411"/>
      <c r="S54" s="411"/>
      <c r="T54" s="411"/>
      <c r="U54" s="411"/>
      <c r="V54" s="240"/>
      <c r="W54" s="240"/>
      <c r="X54" s="240"/>
      <c r="Y54" s="240"/>
      <c r="Z54" s="240"/>
      <c r="AA54" s="240"/>
      <c r="AB54" s="240"/>
      <c r="AC54" s="240"/>
      <c r="AD54" s="240"/>
      <c r="AE54" s="240"/>
      <c r="AF54" s="240"/>
    </row>
  </sheetData>
  <sheetProtection algorithmName="SHA-512" hashValue="yHqAx/8nbntLEtxc4K1zMQ5Q/tNZdDr4ErLeKLbI4nd0AZIM8rPz1Ewpjl7YfoUNDmIkpfNNZkEyG+DXPKeneg==" saltValue="s8kAYufUA4tFInPVvVT3/g==" spinCount="100000" sheet="1" objects="1" scenarios="1" selectLockedCells="1"/>
  <mergeCells count="49">
    <mergeCell ref="A29:U29"/>
    <mergeCell ref="B34:E34"/>
    <mergeCell ref="B4:C4"/>
    <mergeCell ref="A1:U1"/>
    <mergeCell ref="A2:U2"/>
    <mergeCell ref="T28:U28"/>
    <mergeCell ref="P28:Q28"/>
    <mergeCell ref="B28:C28"/>
    <mergeCell ref="D28:E28"/>
    <mergeCell ref="F28:G28"/>
    <mergeCell ref="B23:C23"/>
    <mergeCell ref="F23:G23"/>
    <mergeCell ref="A3:C3"/>
    <mergeCell ref="A14:B14"/>
    <mergeCell ref="A21:E21"/>
    <mergeCell ref="L22:U22"/>
    <mergeCell ref="A54:U54"/>
    <mergeCell ref="A39:U39"/>
    <mergeCell ref="A30:E30"/>
    <mergeCell ref="A36:C36"/>
    <mergeCell ref="A47:D47"/>
    <mergeCell ref="A46:U46"/>
    <mergeCell ref="A50:U50"/>
    <mergeCell ref="A51:D51"/>
    <mergeCell ref="D37:E37"/>
    <mergeCell ref="B42:L42"/>
    <mergeCell ref="M42:M45"/>
    <mergeCell ref="A40:M40"/>
    <mergeCell ref="A35:U35"/>
    <mergeCell ref="B32:E32"/>
    <mergeCell ref="B33:E33"/>
    <mergeCell ref="F32:G34"/>
    <mergeCell ref="B38:C38"/>
    <mergeCell ref="D38:E38"/>
    <mergeCell ref="J28:K28"/>
    <mergeCell ref="H28:I28"/>
    <mergeCell ref="L28:M28"/>
    <mergeCell ref="N28:O28"/>
    <mergeCell ref="T23:U23"/>
    <mergeCell ref="N23:O23"/>
    <mergeCell ref="P23:Q23"/>
    <mergeCell ref="R23:S23"/>
    <mergeCell ref="R28:S28"/>
    <mergeCell ref="J23:K23"/>
    <mergeCell ref="B22:K22"/>
    <mergeCell ref="H23:I23"/>
    <mergeCell ref="A23:A24"/>
    <mergeCell ref="D23:E23"/>
    <mergeCell ref="L23:M23"/>
  </mergeCells>
  <pageMargins left="0.7" right="0.7" top="0.78740157499999996" bottom="0.78740157499999996" header="0.3" footer="0.3"/>
  <pageSetup paperSize="8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4"/>
  <dimension ref="A1:AG67"/>
  <sheetViews>
    <sheetView zoomScale="90" zoomScaleNormal="90" workbookViewId="0">
      <selection activeCell="E12" sqref="E12"/>
    </sheetView>
  </sheetViews>
  <sheetFormatPr baseColWidth="10" defaultColWidth="11.42578125" defaultRowHeight="15" x14ac:dyDescent="0.25"/>
  <cols>
    <col min="1" max="1" width="38.140625" customWidth="1"/>
    <col min="2" max="2" width="16.85546875" customWidth="1"/>
    <col min="3" max="3" width="17.140625" customWidth="1"/>
    <col min="4" max="4" width="16.5703125" customWidth="1"/>
    <col min="5" max="5" width="17.42578125" customWidth="1"/>
    <col min="6" max="6" width="14" customWidth="1"/>
    <col min="7" max="7" width="17.140625" style="25" customWidth="1"/>
    <col min="8" max="8" width="14.42578125" style="25" customWidth="1"/>
    <col min="9" max="9" width="17.5703125" style="25" customWidth="1"/>
    <col min="10" max="10" width="13.85546875" style="25" customWidth="1"/>
    <col min="11" max="11" width="16.5703125" style="25" customWidth="1"/>
    <col min="12" max="12" width="16.42578125" style="25" customWidth="1"/>
    <col min="13" max="13" width="17.140625" style="25" customWidth="1"/>
    <col min="14" max="14" width="14" style="25" customWidth="1"/>
    <col min="15" max="15" width="16.5703125" style="25" customWidth="1"/>
    <col min="16" max="16" width="13.85546875" style="25" customWidth="1"/>
    <col min="17" max="17" width="17.5703125" style="25" customWidth="1"/>
    <col min="18" max="20" width="11.42578125" style="25"/>
    <col min="21" max="21" width="12" style="25" customWidth="1"/>
    <col min="22" max="24" width="12.5703125" style="25" customWidth="1"/>
    <col min="25" max="27" width="11.42578125" style="25"/>
    <col min="28" max="28" width="14" style="25" customWidth="1"/>
    <col min="29" max="29" width="14.5703125" style="25" customWidth="1"/>
    <col min="30" max="33" width="11.42578125" style="25"/>
    <col min="36" max="36" width="0" hidden="1" customWidth="1"/>
  </cols>
  <sheetData>
    <row r="1" spans="1:31" ht="24" customHeight="1" thickBot="1" x14ac:dyDescent="0.3">
      <c r="A1" s="436" t="s">
        <v>459</v>
      </c>
      <c r="B1" s="437"/>
      <c r="C1" s="437"/>
      <c r="D1" s="437"/>
      <c r="E1" s="437"/>
      <c r="F1" s="438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  <c r="AA1" s="243"/>
      <c r="AB1" s="431"/>
      <c r="AC1" s="431"/>
      <c r="AD1" s="431"/>
      <c r="AE1" s="431"/>
    </row>
    <row r="2" spans="1:31" ht="34.35" customHeight="1" thickBot="1" x14ac:dyDescent="0.3">
      <c r="A2" s="375" t="s">
        <v>466</v>
      </c>
      <c r="B2" s="376"/>
      <c r="C2" s="376"/>
      <c r="D2" s="376"/>
      <c r="E2" s="376"/>
      <c r="F2" s="376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9"/>
      <c r="AB2" s="433"/>
      <c r="AC2" s="434"/>
      <c r="AD2" s="434"/>
      <c r="AE2" s="434"/>
    </row>
    <row r="3" spans="1:31" ht="19.5" thickBot="1" x14ac:dyDescent="0.3">
      <c r="A3" s="426" t="s">
        <v>354</v>
      </c>
      <c r="B3" s="427"/>
      <c r="C3" s="427"/>
      <c r="D3" s="427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</row>
    <row r="4" spans="1:31" ht="21.75" customHeight="1" thickBot="1" x14ac:dyDescent="0.3">
      <c r="A4" s="77" t="s">
        <v>239</v>
      </c>
      <c r="B4" s="79" t="s">
        <v>158</v>
      </c>
      <c r="C4" s="79" t="s">
        <v>159</v>
      </c>
      <c r="D4" s="79" t="s">
        <v>150</v>
      </c>
      <c r="E4" s="25"/>
      <c r="F4" s="25"/>
    </row>
    <row r="5" spans="1:31" ht="15.75" thickBot="1" x14ac:dyDescent="0.3">
      <c r="A5" s="61" t="s">
        <v>352</v>
      </c>
      <c r="B5" s="175">
        <v>0.74199999999999999</v>
      </c>
      <c r="C5" s="175">
        <v>0.83199999999999996</v>
      </c>
      <c r="D5" s="175">
        <v>1</v>
      </c>
      <c r="E5" s="25"/>
      <c r="F5" s="25"/>
    </row>
    <row r="6" spans="1:31" ht="19.5" customHeight="1" thickBot="1" x14ac:dyDescent="0.3">
      <c r="A6" s="61" t="s">
        <v>353</v>
      </c>
      <c r="B6" s="180">
        <v>12</v>
      </c>
      <c r="C6" s="175">
        <v>11.8</v>
      </c>
      <c r="D6" s="175">
        <v>1</v>
      </c>
      <c r="E6" s="25"/>
      <c r="F6" s="25"/>
    </row>
    <row r="7" spans="1:31" ht="15.75" thickBot="1" x14ac:dyDescent="0.3">
      <c r="A7" s="435"/>
      <c r="B7" s="435"/>
      <c r="C7" s="435"/>
      <c r="D7" s="435"/>
      <c r="E7" s="435"/>
      <c r="F7" s="435"/>
      <c r="G7" s="244"/>
      <c r="H7" s="244"/>
      <c r="I7" s="244"/>
      <c r="J7" s="244"/>
      <c r="K7" s="244"/>
      <c r="L7" s="244"/>
      <c r="M7" s="244"/>
      <c r="N7" s="244"/>
      <c r="O7" s="244"/>
      <c r="P7" s="244"/>
      <c r="Q7" s="244"/>
    </row>
    <row r="8" spans="1:31" ht="15.75" customHeight="1" thickBot="1" x14ac:dyDescent="0.3">
      <c r="A8" s="432" t="s">
        <v>388</v>
      </c>
      <c r="B8" s="432"/>
      <c r="C8" s="432"/>
      <c r="D8" s="432"/>
      <c r="E8" s="432"/>
      <c r="F8" s="432"/>
    </row>
    <row r="9" spans="1:31" ht="15.75" thickBot="1" x14ac:dyDescent="0.3">
      <c r="A9" s="65" t="s">
        <v>272</v>
      </c>
      <c r="B9" s="66" t="s">
        <v>267</v>
      </c>
      <c r="C9" s="66" t="s">
        <v>10</v>
      </c>
      <c r="D9" s="66" t="s">
        <v>157</v>
      </c>
      <c r="E9" s="66" t="s">
        <v>156</v>
      </c>
      <c r="F9" s="66" t="s">
        <v>155</v>
      </c>
    </row>
    <row r="10" spans="1:31" ht="15.75" thickBot="1" x14ac:dyDescent="0.3">
      <c r="A10" s="67" t="s">
        <v>268</v>
      </c>
      <c r="B10" s="181">
        <v>161.15398661295566</v>
      </c>
      <c r="C10" s="181">
        <v>80.847768995496963</v>
      </c>
      <c r="D10" s="181">
        <v>1094.4760131835947</v>
      </c>
      <c r="E10" s="181">
        <v>183.62631903754345</v>
      </c>
      <c r="F10" s="181">
        <v>675.08691406250023</v>
      </c>
    </row>
    <row r="11" spans="1:31" ht="15.75" thickBot="1" x14ac:dyDescent="0.3">
      <c r="A11" s="67" t="s">
        <v>269</v>
      </c>
      <c r="B11" s="181">
        <v>176.1201680501303</v>
      </c>
      <c r="C11" s="181">
        <v>83.652757432725693</v>
      </c>
      <c r="D11" s="181">
        <v>1133.0239732530395</v>
      </c>
      <c r="E11" s="181">
        <v>194.33738878038221</v>
      </c>
      <c r="F11" s="181">
        <v>722.12337917751745</v>
      </c>
    </row>
    <row r="12" spans="1:31" ht="15.75" thickBot="1" x14ac:dyDescent="0.3">
      <c r="A12" s="67" t="s">
        <v>270</v>
      </c>
      <c r="B12" s="181">
        <v>197.89542304144965</v>
      </c>
      <c r="C12" s="181">
        <v>87.635270860460082</v>
      </c>
      <c r="D12" s="181">
        <v>1240.9442749023428</v>
      </c>
      <c r="E12" s="181">
        <v>210.95420159233947</v>
      </c>
      <c r="F12" s="181">
        <v>789.44554985894115</v>
      </c>
    </row>
    <row r="13" spans="1:31" ht="15.75" thickBot="1" x14ac:dyDescent="0.3">
      <c r="A13" s="67" t="s">
        <v>271</v>
      </c>
      <c r="B13" s="181">
        <v>326.00540161132807</v>
      </c>
      <c r="C13" s="181">
        <v>100.513664245605</v>
      </c>
      <c r="D13" s="181">
        <v>1516.89013671875</v>
      </c>
      <c r="E13" s="181">
        <v>304.04748535156301</v>
      </c>
      <c r="F13" s="181">
        <v>1235.30432128906</v>
      </c>
    </row>
    <row r="14" spans="1:31" ht="15.75" thickBot="1" x14ac:dyDescent="0.3">
      <c r="A14" s="435"/>
      <c r="B14" s="435"/>
      <c r="C14" s="435"/>
      <c r="D14" s="435"/>
      <c r="E14" s="435"/>
      <c r="F14" s="435"/>
      <c r="G14" s="244"/>
      <c r="H14" s="244"/>
      <c r="I14" s="244"/>
      <c r="J14" s="244"/>
      <c r="K14" s="244"/>
      <c r="L14" s="244"/>
      <c r="M14" s="244"/>
      <c r="N14" s="244"/>
      <c r="O14" s="244"/>
      <c r="P14" s="244"/>
      <c r="Q14" s="244"/>
    </row>
    <row r="15" spans="1:31" ht="15.75" customHeight="1" thickBot="1" x14ac:dyDescent="0.3">
      <c r="A15" s="432" t="s">
        <v>389</v>
      </c>
      <c r="B15" s="432"/>
      <c r="C15" s="432"/>
      <c r="D15" s="432"/>
      <c r="E15" s="432"/>
      <c r="F15" s="432"/>
    </row>
    <row r="16" spans="1:31" ht="15.75" thickBot="1" x14ac:dyDescent="0.3">
      <c r="A16" s="65" t="s">
        <v>272</v>
      </c>
      <c r="B16" s="66" t="s">
        <v>267</v>
      </c>
      <c r="C16" s="66" t="s">
        <v>10</v>
      </c>
      <c r="D16" s="66" t="s">
        <v>157</v>
      </c>
      <c r="E16" s="66" t="s">
        <v>156</v>
      </c>
      <c r="F16" s="66" t="s">
        <v>155</v>
      </c>
    </row>
    <row r="17" spans="1:17" ht="15.75" thickBot="1" x14ac:dyDescent="0.3">
      <c r="A17" s="67" t="s">
        <v>268</v>
      </c>
      <c r="B17" s="182">
        <v>0.30510631534788346</v>
      </c>
      <c r="C17" s="182">
        <v>9.1024835076597074E-2</v>
      </c>
      <c r="D17" s="182">
        <v>6.1701295640733544</v>
      </c>
      <c r="E17" s="182">
        <v>0.66882034805085899</v>
      </c>
      <c r="F17" s="182">
        <v>3.1712489657931844</v>
      </c>
    </row>
    <row r="18" spans="1:17" ht="15.75" thickBot="1" x14ac:dyDescent="0.3">
      <c r="A18" s="67" t="s">
        <v>269</v>
      </c>
      <c r="B18" s="182">
        <v>0.33024720350901293</v>
      </c>
      <c r="C18" s="182">
        <v>8.7715449432531997E-2</v>
      </c>
      <c r="D18" s="182">
        <v>6.7648082839118073</v>
      </c>
      <c r="E18" s="182">
        <v>0.67953393856684385</v>
      </c>
      <c r="F18" s="182">
        <v>3.7447452810075554</v>
      </c>
    </row>
    <row r="19" spans="1:17" ht="15.75" thickBot="1" x14ac:dyDescent="0.3">
      <c r="A19" s="67" t="s">
        <v>270</v>
      </c>
      <c r="B19" s="182">
        <v>0.36343940761354232</v>
      </c>
      <c r="C19" s="182">
        <v>8.5450264314810453E-2</v>
      </c>
      <c r="D19" s="182">
        <v>7.8460019429524728</v>
      </c>
      <c r="E19" s="182">
        <v>0.73038170072767483</v>
      </c>
      <c r="F19" s="182">
        <v>4.3446793291303845</v>
      </c>
    </row>
    <row r="20" spans="1:17" ht="15.75" thickBot="1" x14ac:dyDescent="0.3">
      <c r="A20" s="67" t="s">
        <v>271</v>
      </c>
      <c r="B20" s="182">
        <v>0.5719274878501891</v>
      </c>
      <c r="C20" s="182">
        <v>8.7295249104499803E-2</v>
      </c>
      <c r="D20" s="182">
        <v>12.605456352233899</v>
      </c>
      <c r="E20" s="182">
        <v>0.92935836315155007</v>
      </c>
      <c r="F20" s="182">
        <v>8.438779830932619</v>
      </c>
    </row>
    <row r="21" spans="1:17" ht="15.75" thickBot="1" x14ac:dyDescent="0.3">
      <c r="A21" s="435"/>
      <c r="B21" s="435"/>
      <c r="C21" s="435"/>
      <c r="D21" s="435"/>
      <c r="E21" s="435"/>
      <c r="F21" s="435"/>
      <c r="G21" s="244"/>
      <c r="H21" s="244"/>
      <c r="I21" s="244"/>
      <c r="J21" s="244"/>
      <c r="K21" s="244"/>
      <c r="L21" s="244"/>
      <c r="M21" s="244"/>
      <c r="N21" s="244"/>
      <c r="O21" s="244"/>
      <c r="P21" s="244"/>
      <c r="Q21" s="244"/>
    </row>
    <row r="22" spans="1:17" ht="19.5" thickBot="1" x14ac:dyDescent="0.3">
      <c r="A22" s="432" t="s">
        <v>390</v>
      </c>
      <c r="B22" s="432"/>
      <c r="C22" s="432"/>
      <c r="D22" s="432"/>
      <c r="E22" s="432"/>
      <c r="F22" s="432"/>
    </row>
    <row r="23" spans="1:17" ht="15.75" thickBot="1" x14ac:dyDescent="0.3">
      <c r="A23" s="65" t="s">
        <v>272</v>
      </c>
      <c r="B23" s="66" t="s">
        <v>267</v>
      </c>
      <c r="C23" s="66" t="s">
        <v>10</v>
      </c>
      <c r="D23" s="66" t="s">
        <v>157</v>
      </c>
      <c r="E23" s="66" t="s">
        <v>156</v>
      </c>
      <c r="F23" s="66" t="s">
        <v>155</v>
      </c>
    </row>
    <row r="24" spans="1:17" ht="15.75" thickBot="1" x14ac:dyDescent="0.3">
      <c r="A24" s="67" t="s">
        <v>268</v>
      </c>
      <c r="B24" s="182">
        <v>5.5841628669036775E-3</v>
      </c>
      <c r="C24" s="181">
        <v>0</v>
      </c>
      <c r="D24" s="182">
        <v>4.7248762928777305E-2</v>
      </c>
      <c r="E24" s="182">
        <v>3.6852421445979E-2</v>
      </c>
      <c r="F24" s="182">
        <v>4.4238541275262819E-2</v>
      </c>
    </row>
    <row r="25" spans="1:17" ht="15.75" thickBot="1" x14ac:dyDescent="0.3">
      <c r="A25" s="67" t="s">
        <v>269</v>
      </c>
      <c r="B25" s="182">
        <v>5.9864410820106677E-3</v>
      </c>
      <c r="C25" s="181">
        <v>0</v>
      </c>
      <c r="D25" s="182">
        <v>5.1444994078742159E-2</v>
      </c>
      <c r="E25" s="182">
        <v>3.8395382877853157E-2</v>
      </c>
      <c r="F25" s="182">
        <v>5.0168406218290322E-2</v>
      </c>
    </row>
    <row r="26" spans="1:17" ht="15.75" thickBot="1" x14ac:dyDescent="0.3">
      <c r="A26" s="67" t="s">
        <v>270</v>
      </c>
      <c r="B26" s="182">
        <v>6.6326331450707399E-3</v>
      </c>
      <c r="C26" s="181">
        <v>0</v>
      </c>
      <c r="D26" s="182">
        <v>5.9513580054044758E-2</v>
      </c>
      <c r="E26" s="182">
        <v>4.1876970893806868E-2</v>
      </c>
      <c r="F26" s="182">
        <v>5.5989010052548527E-2</v>
      </c>
    </row>
    <row r="27" spans="1:17" ht="15.75" thickBot="1" x14ac:dyDescent="0.3">
      <c r="A27" s="67" t="s">
        <v>271</v>
      </c>
      <c r="B27" s="182">
        <v>1.0737843811512E-2</v>
      </c>
      <c r="C27" s="181">
        <v>0</v>
      </c>
      <c r="D27" s="182">
        <v>8.2101657986640916E-2</v>
      </c>
      <c r="E27" s="182">
        <v>6.3706919550895705E-2</v>
      </c>
      <c r="F27" s="182">
        <v>9.8630890250205994E-2</v>
      </c>
    </row>
    <row r="28" spans="1:17" ht="17.25" customHeight="1" thickBot="1" x14ac:dyDescent="0.3">
      <c r="A28" s="58" t="s">
        <v>313</v>
      </c>
      <c r="B28" s="183">
        <v>3.4000000000000002E-2</v>
      </c>
      <c r="C28" s="183">
        <v>3.4000000000000002E-2</v>
      </c>
      <c r="D28" s="182">
        <v>0.56000000000000005</v>
      </c>
      <c r="E28" s="183">
        <v>3.4000000000000002E-2</v>
      </c>
      <c r="F28" s="182">
        <v>0.56000000000000005</v>
      </c>
    </row>
    <row r="29" spans="1:17" ht="15.75" thickBot="1" x14ac:dyDescent="0.3">
      <c r="A29" s="435"/>
      <c r="B29" s="435"/>
      <c r="C29" s="435"/>
      <c r="D29" s="435"/>
      <c r="E29" s="435"/>
      <c r="F29" s="435"/>
      <c r="G29" s="244"/>
      <c r="H29" s="244"/>
      <c r="I29" s="244"/>
      <c r="J29" s="244"/>
      <c r="K29" s="244"/>
      <c r="L29" s="244"/>
      <c r="M29" s="244"/>
      <c r="N29" s="244"/>
      <c r="O29" s="244"/>
      <c r="P29" s="244"/>
      <c r="Q29" s="244"/>
    </row>
    <row r="30" spans="1:17" ht="19.5" thickBot="1" x14ac:dyDescent="0.3">
      <c r="A30" s="432" t="s">
        <v>312</v>
      </c>
      <c r="B30" s="432"/>
      <c r="C30" s="432"/>
      <c r="D30" s="432"/>
      <c r="E30" s="432"/>
      <c r="F30" s="432"/>
    </row>
    <row r="31" spans="1:17" ht="15.75" thickBot="1" x14ac:dyDescent="0.3">
      <c r="A31" s="65" t="s">
        <v>311</v>
      </c>
      <c r="B31" s="66" t="s">
        <v>267</v>
      </c>
      <c r="C31" s="66" t="s">
        <v>10</v>
      </c>
      <c r="D31" s="66" t="s">
        <v>157</v>
      </c>
      <c r="E31" s="66" t="s">
        <v>156</v>
      </c>
      <c r="F31" s="66" t="s">
        <v>155</v>
      </c>
    </row>
    <row r="32" spans="1:17" ht="15.75" thickBot="1" x14ac:dyDescent="0.3">
      <c r="A32" s="67" t="s">
        <v>268</v>
      </c>
      <c r="B32" s="184">
        <v>51.064836290147568</v>
      </c>
      <c r="C32" s="184">
        <v>25.787970648871543</v>
      </c>
      <c r="D32" s="184">
        <v>344.2787645128036</v>
      </c>
      <c r="E32" s="184">
        <v>57.793408287896064</v>
      </c>
      <c r="F32" s="184">
        <v>212.35559251573369</v>
      </c>
    </row>
    <row r="33" spans="1:31" ht="15.75" thickBot="1" x14ac:dyDescent="0.3">
      <c r="A33" s="67" t="s">
        <v>269</v>
      </c>
      <c r="B33" s="184">
        <v>55.810333251953118</v>
      </c>
      <c r="C33" s="184">
        <v>26.682676527235248</v>
      </c>
      <c r="D33" s="184">
        <v>356.40441216362876</v>
      </c>
      <c r="E33" s="184">
        <v>61.1656371222602</v>
      </c>
      <c r="F33" s="184">
        <v>227.15140957302509</v>
      </c>
    </row>
    <row r="34" spans="1:31" ht="15.75" thickBot="1" x14ac:dyDescent="0.3">
      <c r="A34" s="67" t="s">
        <v>270</v>
      </c>
      <c r="B34" s="184">
        <v>62.711357116699233</v>
      </c>
      <c r="C34" s="184">
        <v>27.952977286444767</v>
      </c>
      <c r="D34" s="184">
        <v>390.35189141167547</v>
      </c>
      <c r="E34" s="184">
        <v>66.396472930908203</v>
      </c>
      <c r="F34" s="184">
        <v>248.32827758789068</v>
      </c>
    </row>
    <row r="35" spans="1:31" ht="15.75" thickBot="1" x14ac:dyDescent="0.3">
      <c r="A35" s="67" t="s">
        <v>271</v>
      </c>
      <c r="B35" s="184">
        <v>103.343711853027</v>
      </c>
      <c r="C35" s="184">
        <v>32.060794830322301</v>
      </c>
      <c r="D35" s="184">
        <v>477.15353393554699</v>
      </c>
      <c r="E35" s="184">
        <v>95.701644897460909</v>
      </c>
      <c r="F35" s="184">
        <v>388.57781982421898</v>
      </c>
    </row>
    <row r="36" spans="1:31" ht="15.75" thickBot="1" x14ac:dyDescent="0.3">
      <c r="A36" s="435"/>
      <c r="B36" s="435"/>
      <c r="C36" s="435"/>
      <c r="D36" s="435"/>
      <c r="E36" s="435"/>
      <c r="F36" s="435"/>
      <c r="G36" s="244"/>
      <c r="H36" s="244"/>
      <c r="I36" s="244"/>
      <c r="J36" s="244"/>
      <c r="K36" s="244"/>
      <c r="L36" s="244"/>
      <c r="M36" s="244"/>
      <c r="N36" s="244"/>
      <c r="O36" s="244"/>
      <c r="P36" s="244"/>
      <c r="Q36" s="244"/>
    </row>
    <row r="37" spans="1:31" ht="15.75" customHeight="1" thickBot="1" x14ac:dyDescent="0.3">
      <c r="A37" s="432" t="s">
        <v>314</v>
      </c>
      <c r="B37" s="432"/>
      <c r="C37" s="432"/>
      <c r="D37" s="432"/>
      <c r="E37" s="432"/>
      <c r="F37" s="432"/>
    </row>
    <row r="38" spans="1:31" ht="15.75" thickBot="1" x14ac:dyDescent="0.3">
      <c r="A38" s="65" t="s">
        <v>291</v>
      </c>
      <c r="B38" s="79" t="s">
        <v>288</v>
      </c>
      <c r="C38" s="79" t="s">
        <v>289</v>
      </c>
      <c r="D38" s="79" t="s">
        <v>298</v>
      </c>
      <c r="E38" s="79" t="s">
        <v>293</v>
      </c>
      <c r="F38" s="79" t="s">
        <v>290</v>
      </c>
    </row>
    <row r="39" spans="1:31" ht="15.75" thickBot="1" x14ac:dyDescent="0.3">
      <c r="A39" s="68" t="s">
        <v>292</v>
      </c>
      <c r="B39" s="185">
        <v>0.15</v>
      </c>
      <c r="C39" s="185">
        <v>1</v>
      </c>
      <c r="D39" s="185">
        <v>3.8</v>
      </c>
      <c r="E39" s="186">
        <v>3.9658000000000002E-3</v>
      </c>
      <c r="F39" s="185">
        <v>0.33</v>
      </c>
    </row>
    <row r="40" spans="1:31" ht="15.75" thickBot="1" x14ac:dyDescent="0.3">
      <c r="A40" s="435"/>
      <c r="B40" s="435"/>
      <c r="C40" s="435"/>
      <c r="D40" s="435"/>
      <c r="E40" s="435"/>
      <c r="F40" s="435"/>
      <c r="G40" s="244"/>
      <c r="H40" s="244"/>
      <c r="I40" s="244"/>
      <c r="J40" s="244"/>
      <c r="K40" s="244"/>
      <c r="L40" s="244"/>
      <c r="M40" s="244"/>
      <c r="N40" s="244"/>
      <c r="O40" s="244"/>
      <c r="P40" s="244"/>
      <c r="Q40" s="244"/>
    </row>
    <row r="41" spans="1:31" ht="38.1" customHeight="1" thickBot="1" x14ac:dyDescent="0.3">
      <c r="A41" s="426" t="s">
        <v>154</v>
      </c>
      <c r="B41" s="427"/>
      <c r="C41" s="427"/>
      <c r="D41" s="25"/>
      <c r="E41" s="25"/>
      <c r="F41" s="25"/>
    </row>
    <row r="42" spans="1:31" ht="15.75" thickBot="1" x14ac:dyDescent="0.3">
      <c r="A42" s="65" t="s">
        <v>239</v>
      </c>
      <c r="B42" s="44" t="s">
        <v>438</v>
      </c>
      <c r="C42" s="44" t="s">
        <v>439</v>
      </c>
      <c r="D42" s="25"/>
      <c r="E42" s="25"/>
      <c r="F42" s="69"/>
      <c r="G42" s="69"/>
      <c r="H42" s="69"/>
      <c r="I42" s="69"/>
      <c r="J42" s="69"/>
      <c r="K42" s="69"/>
    </row>
    <row r="43" spans="1:31" ht="30.75" thickBot="1" x14ac:dyDescent="0.3">
      <c r="A43" s="135" t="s">
        <v>226</v>
      </c>
      <c r="B43" s="187">
        <f>VLOOKUP('3. General project description'!$B$17,Countries_list!$A$2:$C$32,2,FALSE)</f>
        <v>264.97000000000003</v>
      </c>
      <c r="C43" s="187">
        <f>VLOOKUP('3. General project description'!$B$17,Countries_list!$A$2:$C$32,3,FALSE)</f>
        <v>483.24</v>
      </c>
      <c r="D43" s="69"/>
      <c r="E43" s="156"/>
      <c r="F43" s="156"/>
      <c r="G43" s="69"/>
      <c r="H43" s="69"/>
      <c r="I43" s="69"/>
      <c r="J43" s="69"/>
      <c r="K43" s="69"/>
    </row>
    <row r="44" spans="1:31" ht="15.75" thickBot="1" x14ac:dyDescent="0.3">
      <c r="A44" s="435"/>
      <c r="B44" s="435"/>
      <c r="C44" s="435"/>
      <c r="D44" s="435"/>
      <c r="E44" s="435"/>
      <c r="F44" s="435"/>
      <c r="G44" s="245"/>
      <c r="H44" s="245"/>
      <c r="I44" s="245"/>
      <c r="J44" s="245"/>
      <c r="K44" s="245"/>
      <c r="L44" s="245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  <c r="AE44" s="245"/>
    </row>
    <row r="45" spans="1:31" ht="18.600000000000001" customHeight="1" thickBot="1" x14ac:dyDescent="0.3">
      <c r="A45" s="426" t="s">
        <v>398</v>
      </c>
      <c r="B45" s="427"/>
      <c r="C45" s="427"/>
      <c r="D45" s="427"/>
      <c r="E45" s="427"/>
      <c r="F45" s="427"/>
    </row>
    <row r="46" spans="1:31" ht="45.75" thickBot="1" x14ac:dyDescent="0.3">
      <c r="A46" s="388" t="s">
        <v>239</v>
      </c>
      <c r="B46" s="381" t="s">
        <v>31</v>
      </c>
      <c r="C46" s="43" t="s">
        <v>227</v>
      </c>
      <c r="D46" s="43" t="s">
        <v>228</v>
      </c>
      <c r="E46" s="43" t="s">
        <v>227</v>
      </c>
      <c r="F46" s="43" t="s">
        <v>228</v>
      </c>
    </row>
    <row r="47" spans="1:31" ht="15.75" thickBot="1" x14ac:dyDescent="0.3">
      <c r="A47" s="388"/>
      <c r="B47" s="381"/>
      <c r="C47" s="394" t="s">
        <v>220</v>
      </c>
      <c r="D47" s="394"/>
      <c r="E47" s="394" t="s">
        <v>34</v>
      </c>
      <c r="F47" s="394"/>
    </row>
    <row r="48" spans="1:31" ht="30.75" thickBot="1" x14ac:dyDescent="0.3">
      <c r="A48" s="59" t="s">
        <v>160</v>
      </c>
      <c r="B48" s="368" t="s">
        <v>437</v>
      </c>
      <c r="C48" s="176">
        <v>100</v>
      </c>
      <c r="D48" s="176">
        <v>100</v>
      </c>
      <c r="E48" s="176">
        <v>168</v>
      </c>
      <c r="F48" s="176">
        <v>168</v>
      </c>
    </row>
    <row r="49" spans="1:17" ht="30.75" thickBot="1" x14ac:dyDescent="0.3">
      <c r="A49" s="59" t="s">
        <v>165</v>
      </c>
      <c r="B49" s="369"/>
      <c r="C49" s="188">
        <v>1</v>
      </c>
      <c r="D49" s="188">
        <v>1</v>
      </c>
      <c r="E49" s="188">
        <v>1</v>
      </c>
      <c r="F49" s="188">
        <v>1</v>
      </c>
    </row>
    <row r="50" spans="1:17" ht="30.75" thickBot="1" x14ac:dyDescent="0.3">
      <c r="A50" s="59" t="s">
        <v>164</v>
      </c>
      <c r="B50" s="370"/>
      <c r="C50" s="176">
        <v>0.9</v>
      </c>
      <c r="D50" s="176">
        <v>0.9</v>
      </c>
      <c r="E50" s="176">
        <v>0.89</v>
      </c>
      <c r="F50" s="176">
        <v>0.89</v>
      </c>
    </row>
    <row r="51" spans="1:17" ht="15.75" thickBot="1" x14ac:dyDescent="0.3">
      <c r="A51" s="435"/>
      <c r="B51" s="435"/>
      <c r="C51" s="435"/>
      <c r="D51" s="435"/>
      <c r="E51" s="435"/>
      <c r="F51" s="435"/>
      <c r="G51" s="245"/>
      <c r="H51" s="245"/>
      <c r="I51" s="245"/>
      <c r="J51" s="245"/>
      <c r="K51" s="245"/>
      <c r="L51" s="245"/>
      <c r="M51" s="245"/>
      <c r="N51" s="245"/>
      <c r="O51" s="245"/>
      <c r="P51" s="245"/>
      <c r="Q51" s="245"/>
    </row>
    <row r="52" spans="1:17" s="25" customFormat="1" x14ac:dyDescent="0.25"/>
    <row r="53" spans="1:17" s="25" customFormat="1" x14ac:dyDescent="0.25"/>
    <row r="54" spans="1:17" s="25" customFormat="1" x14ac:dyDescent="0.25"/>
    <row r="55" spans="1:17" s="25" customFormat="1" x14ac:dyDescent="0.25"/>
    <row r="56" spans="1:17" s="25" customFormat="1" x14ac:dyDescent="0.25"/>
    <row r="57" spans="1:17" s="25" customFormat="1" x14ac:dyDescent="0.25"/>
    <row r="58" spans="1:17" s="25" customFormat="1" x14ac:dyDescent="0.25"/>
    <row r="59" spans="1:17" s="25" customFormat="1" x14ac:dyDescent="0.25"/>
    <row r="60" spans="1:17" s="25" customFormat="1" x14ac:dyDescent="0.25"/>
    <row r="61" spans="1:17" s="25" customFormat="1" x14ac:dyDescent="0.25"/>
    <row r="62" spans="1:17" s="25" customFormat="1" x14ac:dyDescent="0.25"/>
    <row r="63" spans="1:17" s="25" customFormat="1" x14ac:dyDescent="0.25"/>
    <row r="64" spans="1:17" s="25" customFormat="1" x14ac:dyDescent="0.25"/>
    <row r="65" s="25" customFormat="1" x14ac:dyDescent="0.25"/>
    <row r="66" s="25" customFormat="1" x14ac:dyDescent="0.25"/>
    <row r="67" s="25" customFormat="1" x14ac:dyDescent="0.25"/>
  </sheetData>
  <sheetProtection algorithmName="SHA-512" hashValue="dlot/yr1LRsUDYDngHhoasZlnDO9iG30VpBiUBLPmj5FhkYVkkKNJdlOrG0FHvFWb7VOF+0aUx08RNjX27He6A==" saltValue="44i0OBo/nqDek4l06tO5Ig==" spinCount="100000" sheet="1" objects="1" scenarios="1" selectLockedCells="1"/>
  <mergeCells count="25">
    <mergeCell ref="A3:D3"/>
    <mergeCell ref="A44:F44"/>
    <mergeCell ref="A51:F51"/>
    <mergeCell ref="B48:B50"/>
    <mergeCell ref="A45:F45"/>
    <mergeCell ref="A46:A47"/>
    <mergeCell ref="B46:B47"/>
    <mergeCell ref="C47:D47"/>
    <mergeCell ref="E47:F47"/>
    <mergeCell ref="AB1:AE1"/>
    <mergeCell ref="A41:C41"/>
    <mergeCell ref="A30:F30"/>
    <mergeCell ref="A37:F37"/>
    <mergeCell ref="AB2:AE2"/>
    <mergeCell ref="A15:F15"/>
    <mergeCell ref="A22:F22"/>
    <mergeCell ref="A29:F29"/>
    <mergeCell ref="A36:F36"/>
    <mergeCell ref="A40:F40"/>
    <mergeCell ref="A1:F1"/>
    <mergeCell ref="A2:F2"/>
    <mergeCell ref="A7:F7"/>
    <mergeCell ref="A14:F14"/>
    <mergeCell ref="A21:F21"/>
    <mergeCell ref="A8:F8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249977111117893"/>
  </sheetPr>
  <dimension ref="A1:AB194"/>
  <sheetViews>
    <sheetView zoomScale="130" zoomScaleNormal="130" workbookViewId="0">
      <selection sqref="A1:E27"/>
    </sheetView>
  </sheetViews>
  <sheetFormatPr baseColWidth="10" defaultColWidth="11.42578125" defaultRowHeight="15" x14ac:dyDescent="0.25"/>
  <cols>
    <col min="1" max="1" width="71.140625" bestFit="1" customWidth="1"/>
    <col min="2" max="2" width="15.140625" bestFit="1" customWidth="1"/>
    <col min="3" max="3" width="9.140625" bestFit="1" customWidth="1"/>
    <col min="4" max="4" width="14.85546875" bestFit="1" customWidth="1"/>
    <col min="5" max="5" width="8.42578125" bestFit="1" customWidth="1"/>
    <col min="6" max="28" width="11.5703125" style="25"/>
  </cols>
  <sheetData>
    <row r="1" spans="1:5" ht="23.25" x14ac:dyDescent="0.25">
      <c r="A1" s="450" t="s">
        <v>144</v>
      </c>
      <c r="B1" s="451"/>
      <c r="C1" s="451"/>
      <c r="D1" s="451"/>
      <c r="E1" s="451"/>
    </row>
    <row r="2" spans="1:5" ht="15.75" thickBot="1" x14ac:dyDescent="0.3">
      <c r="C2" s="25"/>
      <c r="D2" s="25"/>
      <c r="E2" s="25"/>
    </row>
    <row r="3" spans="1:5" ht="16.5" thickBot="1" x14ac:dyDescent="0.3">
      <c r="A3" s="448" t="s">
        <v>1</v>
      </c>
      <c r="B3" s="449"/>
      <c r="C3" s="25"/>
      <c r="D3" s="25"/>
      <c r="E3" s="25"/>
    </row>
    <row r="4" spans="1:5" x14ac:dyDescent="0.25">
      <c r="A4" s="25" t="s">
        <v>68</v>
      </c>
      <c r="B4" s="25">
        <f>'3. General project description'!B12:C12</f>
        <v>0</v>
      </c>
      <c r="C4" s="25"/>
      <c r="D4" s="25"/>
      <c r="E4" s="25"/>
    </row>
    <row r="5" spans="1:5" x14ac:dyDescent="0.25">
      <c r="A5" s="25" t="s">
        <v>168</v>
      </c>
      <c r="B5" s="25">
        <f>'3. General project description'!B15:C15</f>
        <v>0</v>
      </c>
      <c r="C5" s="25"/>
      <c r="D5" s="25"/>
      <c r="E5" s="25"/>
    </row>
    <row r="6" spans="1:5" x14ac:dyDescent="0.25">
      <c r="A6" s="25" t="s">
        <v>65</v>
      </c>
      <c r="B6" s="237">
        <f>'5. Input_monetary values'!B4:C4</f>
        <v>0.03</v>
      </c>
      <c r="C6" s="25"/>
      <c r="D6" s="25"/>
      <c r="E6" s="25"/>
    </row>
    <row r="7" spans="1:5" ht="15.75" thickBot="1" x14ac:dyDescent="0.3">
      <c r="B7" s="229"/>
      <c r="C7" s="25"/>
      <c r="D7" s="25"/>
      <c r="E7" s="25"/>
    </row>
    <row r="8" spans="1:5" ht="22.7" customHeight="1" thickBot="1" x14ac:dyDescent="0.3">
      <c r="A8" s="75" t="s">
        <v>408</v>
      </c>
      <c r="B8" s="452" t="s">
        <v>228</v>
      </c>
      <c r="C8" s="453"/>
      <c r="D8" s="453"/>
      <c r="E8" s="454"/>
    </row>
    <row r="9" spans="1:5" ht="18.600000000000001" customHeight="1" thickBot="1" x14ac:dyDescent="0.3">
      <c r="A9" s="218" t="s">
        <v>441</v>
      </c>
      <c r="B9" s="232" t="s">
        <v>442</v>
      </c>
      <c r="C9" s="232" t="s">
        <v>67</v>
      </c>
      <c r="D9" s="232" t="s">
        <v>467</v>
      </c>
      <c r="E9" s="232" t="s">
        <v>66</v>
      </c>
    </row>
    <row r="10" spans="1:5" ht="15.75" x14ac:dyDescent="0.25">
      <c r="A10" s="230" t="s">
        <v>444</v>
      </c>
      <c r="B10" s="233">
        <f>'5. Input_monetary values'!B6</f>
        <v>0</v>
      </c>
      <c r="C10" s="233">
        <f>'5. Input_monetary values'!C6</f>
        <v>25</v>
      </c>
      <c r="D10" s="234">
        <f>$B$6/(1-POWER(1+$B$6,-$C10))</f>
        <v>5.7427871039127817E-2</v>
      </c>
      <c r="E10" s="233">
        <f>B10*D10</f>
        <v>0</v>
      </c>
    </row>
    <row r="11" spans="1:5" ht="15.75" x14ac:dyDescent="0.25">
      <c r="A11" s="230" t="s">
        <v>445</v>
      </c>
      <c r="B11" s="233">
        <f>'5. Input_monetary values'!B7</f>
        <v>0</v>
      </c>
      <c r="C11" s="233">
        <f>'5. Input_monetary values'!C7</f>
        <v>75</v>
      </c>
      <c r="D11" s="234">
        <f t="shared" ref="D11:D16" si="0">$B$6/(1-POWER(1+$B$6,-$C11))</f>
        <v>3.3667963399969386E-2</v>
      </c>
      <c r="E11" s="233">
        <f t="shared" ref="E11:E16" si="1">B11*D11</f>
        <v>0</v>
      </c>
    </row>
    <row r="12" spans="1:5" ht="15.75" x14ac:dyDescent="0.25">
      <c r="A12" s="230" t="s">
        <v>446</v>
      </c>
      <c r="B12" s="233">
        <f>'5. Input_monetary values'!B8</f>
        <v>0</v>
      </c>
      <c r="C12" s="233">
        <f>'5. Input_monetary values'!C8</f>
        <v>10</v>
      </c>
      <c r="D12" s="234">
        <f t="shared" si="0"/>
        <v>0.11723050660515962</v>
      </c>
      <c r="E12" s="233">
        <f t="shared" si="1"/>
        <v>0</v>
      </c>
    </row>
    <row r="13" spans="1:5" ht="15.75" x14ac:dyDescent="0.25">
      <c r="A13" s="230" t="s">
        <v>447</v>
      </c>
      <c r="B13" s="233">
        <f>'5. Input_monetary values'!B9</f>
        <v>0</v>
      </c>
      <c r="C13" s="233">
        <f>'5. Input_monetary values'!C9</f>
        <v>15</v>
      </c>
      <c r="D13" s="234">
        <f t="shared" si="0"/>
        <v>8.3766580462288048E-2</v>
      </c>
      <c r="E13" s="233">
        <f t="shared" si="1"/>
        <v>0</v>
      </c>
    </row>
    <row r="14" spans="1:5" ht="15.75" x14ac:dyDescent="0.25">
      <c r="A14" s="230" t="s">
        <v>448</v>
      </c>
      <c r="B14" s="233">
        <f>'5. Input_monetary values'!B10</f>
        <v>0</v>
      </c>
      <c r="C14" s="233">
        <f>'5. Input_monetary values'!C10</f>
        <v>0.5</v>
      </c>
      <c r="D14" s="234">
        <f t="shared" si="0"/>
        <v>2.0448891565092238</v>
      </c>
      <c r="E14" s="233">
        <f t="shared" si="1"/>
        <v>0</v>
      </c>
    </row>
    <row r="15" spans="1:5" ht="15.75" x14ac:dyDescent="0.25">
      <c r="A15" s="230" t="s">
        <v>449</v>
      </c>
      <c r="B15" s="233">
        <f>'5. Input_monetary values'!B11</f>
        <v>0</v>
      </c>
      <c r="C15" s="233">
        <f>'5. Input_monetary values'!C11</f>
        <v>2</v>
      </c>
      <c r="D15" s="234">
        <f t="shared" si="0"/>
        <v>0.52261083743842351</v>
      </c>
      <c r="E15" s="233">
        <f t="shared" si="1"/>
        <v>0</v>
      </c>
    </row>
    <row r="16" spans="1:5" ht="16.5" thickBot="1" x14ac:dyDescent="0.3">
      <c r="A16" s="230" t="s">
        <v>450</v>
      </c>
      <c r="B16" s="233">
        <f>'5. Input_monetary values'!B12</f>
        <v>0</v>
      </c>
      <c r="C16" s="233">
        <f>'5. Input_monetary values'!C12</f>
        <v>2</v>
      </c>
      <c r="D16" s="234">
        <f t="shared" si="0"/>
        <v>0.52261083743842351</v>
      </c>
      <c r="E16" s="233">
        <f t="shared" si="1"/>
        <v>0</v>
      </c>
    </row>
    <row r="17" spans="1:5" ht="16.5" thickBot="1" x14ac:dyDescent="0.3">
      <c r="A17" s="235" t="s">
        <v>70</v>
      </c>
      <c r="B17" s="455">
        <f>SUM(B10:B16)</f>
        <v>0</v>
      </c>
      <c r="C17" s="456"/>
      <c r="D17" s="456"/>
      <c r="E17" s="457"/>
    </row>
    <row r="18" spans="1:5" ht="16.5" thickBot="1" x14ac:dyDescent="0.3">
      <c r="A18" s="236" t="s">
        <v>69</v>
      </c>
      <c r="B18" s="439">
        <f>SUM(E10:E16)</f>
        <v>0</v>
      </c>
      <c r="C18" s="440"/>
      <c r="D18" s="440"/>
      <c r="E18" s="441"/>
    </row>
    <row r="19" spans="1:5" ht="8.4499999999999993" customHeight="1" thickBot="1" x14ac:dyDescent="0.3">
      <c r="A19" s="442"/>
      <c r="B19" s="443"/>
      <c r="C19" s="443"/>
      <c r="D19" s="443"/>
      <c r="E19" s="443"/>
    </row>
    <row r="20" spans="1:5" ht="16.5" thickBot="1" x14ac:dyDescent="0.3">
      <c r="A20" s="218" t="s">
        <v>451</v>
      </c>
      <c r="B20" s="444" t="s">
        <v>468</v>
      </c>
      <c r="C20" s="445"/>
      <c r="D20" s="445"/>
      <c r="E20" s="445"/>
    </row>
    <row r="21" spans="1:5" ht="15.75" x14ac:dyDescent="0.25">
      <c r="A21" s="164" t="s">
        <v>452</v>
      </c>
      <c r="B21" s="446">
        <f>'5. Input_monetary values'!B16</f>
        <v>0</v>
      </c>
      <c r="C21" s="447"/>
      <c r="D21" s="447"/>
      <c r="E21" s="447"/>
    </row>
    <row r="22" spans="1:5" ht="15.75" x14ac:dyDescent="0.25">
      <c r="A22" s="164" t="s">
        <v>453</v>
      </c>
      <c r="B22" s="446">
        <f>'5. Input_monetary values'!B17</f>
        <v>0</v>
      </c>
      <c r="C22" s="447"/>
      <c r="D22" s="447"/>
      <c r="E22" s="447"/>
    </row>
    <row r="23" spans="1:5" ht="15.75" x14ac:dyDescent="0.25">
      <c r="A23" s="164" t="s">
        <v>454</v>
      </c>
      <c r="B23" s="446">
        <f>'5. Input_monetary values'!B18</f>
        <v>0</v>
      </c>
      <c r="C23" s="447"/>
      <c r="D23" s="447"/>
      <c r="E23" s="447"/>
    </row>
    <row r="24" spans="1:5" ht="15.75" x14ac:dyDescent="0.25">
      <c r="A24" s="164" t="s">
        <v>455</v>
      </c>
      <c r="B24" s="446">
        <f>'5. Input_monetary values'!B19</f>
        <v>0</v>
      </c>
      <c r="C24" s="447"/>
      <c r="D24" s="447"/>
      <c r="E24" s="447"/>
    </row>
    <row r="25" spans="1:5" ht="16.5" thickBot="1" x14ac:dyDescent="0.3">
      <c r="A25" s="164" t="s">
        <v>456</v>
      </c>
      <c r="B25" s="446">
        <f>'5. Input_monetary values'!B20</f>
        <v>0</v>
      </c>
      <c r="C25" s="447"/>
      <c r="D25" s="447"/>
      <c r="E25" s="447"/>
    </row>
    <row r="26" spans="1:5" ht="16.5" thickBot="1" x14ac:dyDescent="0.3">
      <c r="A26" s="236" t="s">
        <v>469</v>
      </c>
      <c r="B26" s="439">
        <f>SUM(B21:E25)</f>
        <v>0</v>
      </c>
      <c r="C26" s="440"/>
      <c r="D26" s="440"/>
      <c r="E26" s="441"/>
    </row>
    <row r="27" spans="1:5" ht="13.7" customHeight="1" thickBot="1" x14ac:dyDescent="0.3">
      <c r="A27" s="442"/>
      <c r="B27" s="443"/>
      <c r="C27" s="443"/>
      <c r="D27" s="443"/>
      <c r="E27" s="443"/>
    </row>
    <row r="28" spans="1:5" s="25" customFormat="1" x14ac:dyDescent="0.25"/>
    <row r="29" spans="1:5" s="25" customFormat="1" x14ac:dyDescent="0.25"/>
    <row r="30" spans="1:5" s="25" customFormat="1" x14ac:dyDescent="0.25"/>
    <row r="31" spans="1:5" s="25" customFormat="1" x14ac:dyDescent="0.25"/>
    <row r="32" spans="1:5" s="25" customFormat="1" x14ac:dyDescent="0.25"/>
    <row r="33" s="25" customFormat="1" x14ac:dyDescent="0.25"/>
    <row r="34" s="25" customFormat="1" x14ac:dyDescent="0.25"/>
    <row r="35" s="25" customFormat="1" x14ac:dyDescent="0.25"/>
    <row r="36" s="25" customFormat="1" x14ac:dyDescent="0.25"/>
    <row r="37" s="25" customFormat="1" x14ac:dyDescent="0.25"/>
    <row r="38" s="25" customFormat="1" x14ac:dyDescent="0.25"/>
    <row r="39" s="25" customFormat="1" x14ac:dyDescent="0.25"/>
    <row r="40" s="25" customFormat="1" x14ac:dyDescent="0.25"/>
    <row r="41" s="25" customFormat="1" x14ac:dyDescent="0.25"/>
    <row r="42" s="25" customFormat="1" x14ac:dyDescent="0.25"/>
    <row r="43" s="25" customFormat="1" x14ac:dyDescent="0.25"/>
    <row r="44" s="25" customFormat="1" x14ac:dyDescent="0.25"/>
    <row r="45" s="25" customFormat="1" x14ac:dyDescent="0.25"/>
    <row r="46" s="25" customFormat="1" x14ac:dyDescent="0.25"/>
    <row r="47" s="25" customFormat="1" x14ac:dyDescent="0.25"/>
    <row r="48" s="25" customFormat="1" x14ac:dyDescent="0.25"/>
    <row r="49" s="25" customFormat="1" x14ac:dyDescent="0.25"/>
    <row r="50" s="25" customFormat="1" x14ac:dyDescent="0.25"/>
    <row r="51" s="25" customFormat="1" x14ac:dyDescent="0.25"/>
    <row r="52" s="25" customFormat="1" x14ac:dyDescent="0.25"/>
    <row r="53" s="25" customFormat="1" x14ac:dyDescent="0.25"/>
    <row r="54" s="25" customFormat="1" x14ac:dyDescent="0.25"/>
    <row r="55" s="25" customFormat="1" x14ac:dyDescent="0.25"/>
    <row r="56" s="25" customFormat="1" x14ac:dyDescent="0.25"/>
    <row r="57" s="25" customFormat="1" x14ac:dyDescent="0.25"/>
    <row r="58" s="25" customFormat="1" x14ac:dyDescent="0.25"/>
    <row r="59" s="25" customFormat="1" x14ac:dyDescent="0.25"/>
    <row r="60" s="25" customFormat="1" x14ac:dyDescent="0.25"/>
    <row r="61" s="25" customFormat="1" x14ac:dyDescent="0.25"/>
    <row r="62" s="25" customFormat="1" x14ac:dyDescent="0.25"/>
    <row r="63" s="25" customFormat="1" x14ac:dyDescent="0.25"/>
    <row r="64" s="25" customFormat="1" x14ac:dyDescent="0.25"/>
    <row r="65" s="25" customFormat="1" x14ac:dyDescent="0.25"/>
    <row r="66" s="25" customFormat="1" x14ac:dyDescent="0.25"/>
    <row r="67" s="25" customFormat="1" x14ac:dyDescent="0.25"/>
    <row r="68" s="25" customFormat="1" x14ac:dyDescent="0.25"/>
    <row r="69" s="25" customFormat="1" x14ac:dyDescent="0.25"/>
    <row r="70" s="25" customFormat="1" x14ac:dyDescent="0.25"/>
    <row r="71" s="25" customFormat="1" x14ac:dyDescent="0.25"/>
    <row r="72" s="25" customFormat="1" x14ac:dyDescent="0.25"/>
    <row r="73" s="25" customFormat="1" x14ac:dyDescent="0.25"/>
    <row r="74" s="25" customFormat="1" x14ac:dyDescent="0.25"/>
    <row r="75" s="25" customFormat="1" x14ac:dyDescent="0.25"/>
    <row r="76" s="25" customFormat="1" x14ac:dyDescent="0.25"/>
    <row r="77" s="25" customFormat="1" x14ac:dyDescent="0.25"/>
    <row r="78" s="25" customFormat="1" x14ac:dyDescent="0.25"/>
    <row r="79" s="25" customFormat="1" x14ac:dyDescent="0.25"/>
    <row r="80" s="25" customFormat="1" x14ac:dyDescent="0.25"/>
    <row r="81" s="25" customFormat="1" x14ac:dyDescent="0.25"/>
    <row r="82" s="25" customFormat="1" x14ac:dyDescent="0.25"/>
    <row r="83" s="25" customFormat="1" x14ac:dyDescent="0.25"/>
    <row r="84" s="25" customFormat="1" x14ac:dyDescent="0.25"/>
    <row r="85" s="25" customFormat="1" x14ac:dyDescent="0.25"/>
    <row r="86" s="25" customFormat="1" x14ac:dyDescent="0.25"/>
    <row r="87" s="25" customFormat="1" x14ac:dyDescent="0.25"/>
    <row r="88" s="25" customFormat="1" x14ac:dyDescent="0.25"/>
    <row r="89" s="25" customFormat="1" x14ac:dyDescent="0.25"/>
    <row r="90" s="25" customFormat="1" x14ac:dyDescent="0.25"/>
    <row r="91" s="25" customFormat="1" x14ac:dyDescent="0.25"/>
    <row r="92" s="25" customFormat="1" x14ac:dyDescent="0.25"/>
    <row r="93" s="25" customFormat="1" x14ac:dyDescent="0.25"/>
    <row r="94" s="25" customFormat="1" x14ac:dyDescent="0.25"/>
    <row r="95" s="25" customFormat="1" x14ac:dyDescent="0.25"/>
    <row r="96" s="25" customFormat="1" x14ac:dyDescent="0.25"/>
    <row r="97" s="25" customFormat="1" x14ac:dyDescent="0.25"/>
    <row r="98" s="25" customFormat="1" x14ac:dyDescent="0.25"/>
    <row r="99" s="25" customFormat="1" x14ac:dyDescent="0.25"/>
    <row r="100" s="25" customFormat="1" x14ac:dyDescent="0.25"/>
    <row r="101" s="25" customFormat="1" x14ac:dyDescent="0.25"/>
    <row r="102" s="25" customFormat="1" x14ac:dyDescent="0.25"/>
    <row r="103" s="25" customFormat="1" x14ac:dyDescent="0.25"/>
    <row r="104" s="25" customFormat="1" x14ac:dyDescent="0.25"/>
    <row r="105" s="25" customFormat="1" x14ac:dyDescent="0.25"/>
    <row r="106" s="25" customFormat="1" x14ac:dyDescent="0.25"/>
    <row r="107" s="25" customFormat="1" x14ac:dyDescent="0.25"/>
    <row r="108" s="25" customFormat="1" x14ac:dyDescent="0.25"/>
    <row r="109" s="25" customFormat="1" x14ac:dyDescent="0.25"/>
    <row r="110" s="25" customFormat="1" x14ac:dyDescent="0.25"/>
    <row r="111" s="25" customFormat="1" x14ac:dyDescent="0.25"/>
    <row r="112" s="25" customFormat="1" x14ac:dyDescent="0.25"/>
    <row r="113" s="25" customFormat="1" x14ac:dyDescent="0.25"/>
    <row r="114" s="25" customFormat="1" x14ac:dyDescent="0.25"/>
    <row r="115" s="25" customFormat="1" x14ac:dyDescent="0.25"/>
    <row r="116" s="25" customFormat="1" x14ac:dyDescent="0.25"/>
    <row r="117" s="25" customFormat="1" x14ac:dyDescent="0.25"/>
    <row r="118" s="25" customFormat="1" x14ac:dyDescent="0.25"/>
    <row r="119" s="25" customFormat="1" x14ac:dyDescent="0.25"/>
    <row r="120" s="25" customFormat="1" x14ac:dyDescent="0.25"/>
    <row r="121" s="25" customFormat="1" x14ac:dyDescent="0.25"/>
    <row r="122" s="25" customFormat="1" x14ac:dyDescent="0.25"/>
    <row r="123" s="25" customFormat="1" x14ac:dyDescent="0.25"/>
    <row r="124" s="25" customFormat="1" x14ac:dyDescent="0.25"/>
    <row r="125" s="25" customFormat="1" x14ac:dyDescent="0.25"/>
    <row r="126" s="25" customFormat="1" x14ac:dyDescent="0.25"/>
    <row r="127" s="25" customFormat="1" x14ac:dyDescent="0.25"/>
    <row r="128" s="25" customFormat="1" x14ac:dyDescent="0.25"/>
    <row r="129" s="25" customFormat="1" x14ac:dyDescent="0.25"/>
    <row r="130" s="25" customFormat="1" x14ac:dyDescent="0.25"/>
    <row r="131" s="25" customFormat="1" x14ac:dyDescent="0.25"/>
    <row r="132" s="25" customFormat="1" x14ac:dyDescent="0.25"/>
    <row r="133" s="25" customFormat="1" x14ac:dyDescent="0.25"/>
    <row r="134" s="25" customFormat="1" x14ac:dyDescent="0.25"/>
    <row r="135" s="25" customFormat="1" x14ac:dyDescent="0.25"/>
    <row r="136" s="25" customFormat="1" x14ac:dyDescent="0.25"/>
    <row r="137" s="25" customFormat="1" x14ac:dyDescent="0.25"/>
    <row r="138" s="25" customFormat="1" x14ac:dyDescent="0.25"/>
    <row r="139" s="25" customFormat="1" x14ac:dyDescent="0.25"/>
    <row r="140" s="25" customFormat="1" x14ac:dyDescent="0.25"/>
    <row r="141" s="25" customFormat="1" x14ac:dyDescent="0.25"/>
    <row r="142" s="25" customFormat="1" x14ac:dyDescent="0.25"/>
    <row r="143" s="25" customFormat="1" x14ac:dyDescent="0.25"/>
    <row r="144" s="25" customFormat="1" x14ac:dyDescent="0.25"/>
    <row r="145" s="25" customFormat="1" x14ac:dyDescent="0.25"/>
    <row r="146" s="25" customFormat="1" x14ac:dyDescent="0.25"/>
    <row r="147" s="25" customFormat="1" x14ac:dyDescent="0.25"/>
    <row r="148" s="25" customFormat="1" x14ac:dyDescent="0.25"/>
    <row r="149" s="25" customFormat="1" x14ac:dyDescent="0.25"/>
    <row r="150" s="25" customFormat="1" x14ac:dyDescent="0.25"/>
    <row r="151" s="25" customFormat="1" x14ac:dyDescent="0.25"/>
    <row r="152" s="25" customFormat="1" x14ac:dyDescent="0.25"/>
    <row r="153" s="25" customFormat="1" x14ac:dyDescent="0.25"/>
    <row r="154" s="25" customFormat="1" x14ac:dyDescent="0.25"/>
    <row r="155" s="25" customFormat="1" x14ac:dyDescent="0.25"/>
    <row r="156" s="25" customFormat="1" x14ac:dyDescent="0.25"/>
    <row r="157" s="25" customFormat="1" x14ac:dyDescent="0.25"/>
    <row r="158" s="25" customFormat="1" x14ac:dyDescent="0.25"/>
    <row r="159" s="25" customFormat="1" x14ac:dyDescent="0.25"/>
    <row r="160" s="25" customFormat="1" x14ac:dyDescent="0.25"/>
    <row r="161" s="25" customFormat="1" x14ac:dyDescent="0.25"/>
    <row r="162" s="25" customFormat="1" x14ac:dyDescent="0.25"/>
    <row r="163" s="25" customFormat="1" x14ac:dyDescent="0.25"/>
    <row r="164" s="25" customFormat="1" x14ac:dyDescent="0.25"/>
    <row r="165" s="25" customFormat="1" x14ac:dyDescent="0.25"/>
    <row r="166" s="25" customFormat="1" x14ac:dyDescent="0.25"/>
    <row r="167" s="25" customFormat="1" x14ac:dyDescent="0.25"/>
    <row r="168" s="25" customFormat="1" x14ac:dyDescent="0.25"/>
    <row r="169" s="25" customFormat="1" x14ac:dyDescent="0.25"/>
    <row r="170" s="25" customFormat="1" x14ac:dyDescent="0.25"/>
    <row r="171" s="25" customFormat="1" x14ac:dyDescent="0.25"/>
    <row r="172" s="25" customFormat="1" x14ac:dyDescent="0.25"/>
    <row r="173" s="25" customFormat="1" x14ac:dyDescent="0.25"/>
    <row r="174" s="25" customFormat="1" x14ac:dyDescent="0.25"/>
    <row r="175" s="25" customFormat="1" x14ac:dyDescent="0.25"/>
    <row r="176" s="25" customFormat="1" x14ac:dyDescent="0.25"/>
    <row r="177" s="25" customFormat="1" x14ac:dyDescent="0.25"/>
    <row r="178" s="25" customFormat="1" x14ac:dyDescent="0.25"/>
    <row r="179" s="25" customFormat="1" x14ac:dyDescent="0.25"/>
    <row r="180" s="25" customFormat="1" x14ac:dyDescent="0.25"/>
    <row r="181" s="25" customFormat="1" x14ac:dyDescent="0.25"/>
    <row r="182" s="25" customFormat="1" x14ac:dyDescent="0.25"/>
    <row r="183" s="25" customFormat="1" x14ac:dyDescent="0.25"/>
    <row r="184" s="25" customFormat="1" x14ac:dyDescent="0.25"/>
    <row r="185" s="25" customFormat="1" x14ac:dyDescent="0.25"/>
    <row r="186" s="25" customFormat="1" x14ac:dyDescent="0.25"/>
    <row r="187" s="25" customFormat="1" x14ac:dyDescent="0.25"/>
    <row r="188" s="25" customFormat="1" x14ac:dyDescent="0.25"/>
    <row r="189" s="25" customFormat="1" x14ac:dyDescent="0.25"/>
    <row r="190" s="25" customFormat="1" x14ac:dyDescent="0.25"/>
    <row r="191" s="25" customFormat="1" x14ac:dyDescent="0.25"/>
    <row r="192" s="25" customFormat="1" x14ac:dyDescent="0.25"/>
    <row r="193" s="25" customFormat="1" x14ac:dyDescent="0.25"/>
    <row r="194" s="25" customFormat="1" x14ac:dyDescent="0.25"/>
  </sheetData>
  <sheetProtection algorithmName="SHA-512" hashValue="8jaQxNkYqBI2xwU7JfVph1mI+6dfPGXagftzBZ2VYPIGpr630kutWDNLcEE3ntNjYESQvh0iOBQ7jBNCLweaMA==" saltValue="+EOvJHaiOMbWkFdFWMnWnQ==" spinCount="100000" sheet="1" objects="1" scenarios="1" selectLockedCells="1"/>
  <mergeCells count="14">
    <mergeCell ref="B18:E18"/>
    <mergeCell ref="A3:B3"/>
    <mergeCell ref="A19:E19"/>
    <mergeCell ref="A1:E1"/>
    <mergeCell ref="B8:E8"/>
    <mergeCell ref="B17:E17"/>
    <mergeCell ref="B26:E26"/>
    <mergeCell ref="A27:E27"/>
    <mergeCell ref="B20:E20"/>
    <mergeCell ref="B21:E21"/>
    <mergeCell ref="B22:E22"/>
    <mergeCell ref="B23:E23"/>
    <mergeCell ref="B24:E24"/>
    <mergeCell ref="B25:E25"/>
  </mergeCell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9">
    <tabColor rgb="FFA9DBCE"/>
    <pageSetUpPr fitToPage="1"/>
  </sheetPr>
  <dimension ref="A1:W42"/>
  <sheetViews>
    <sheetView workbookViewId="0">
      <selection sqref="A1:K16"/>
    </sheetView>
  </sheetViews>
  <sheetFormatPr baseColWidth="10" defaultColWidth="11.42578125" defaultRowHeight="15" x14ac:dyDescent="0.25"/>
  <cols>
    <col min="1" max="1" width="53.42578125" customWidth="1"/>
    <col min="2" max="2" width="16.85546875" customWidth="1"/>
    <col min="3" max="3" width="15.5703125" customWidth="1"/>
    <col min="4" max="4" width="14.42578125" customWidth="1"/>
    <col min="5" max="5" width="14.5703125" customWidth="1"/>
    <col min="6" max="6" width="18.42578125" customWidth="1"/>
    <col min="7" max="7" width="17.42578125" bestFit="1" customWidth="1"/>
    <col min="8" max="8" width="15" customWidth="1"/>
    <col min="9" max="10" width="14.5703125" customWidth="1"/>
    <col min="11" max="11" width="18.5703125" customWidth="1"/>
    <col min="12" max="13" width="11.42578125" style="25"/>
    <col min="14" max="14" width="59.42578125" style="25" bestFit="1" customWidth="1"/>
    <col min="15" max="15" width="54" style="25" bestFit="1" customWidth="1"/>
    <col min="16" max="23" width="11.42578125" style="25"/>
  </cols>
  <sheetData>
    <row r="1" spans="1:11" ht="24" customHeight="1" thickBot="1" x14ac:dyDescent="0.3">
      <c r="A1" s="450" t="s">
        <v>146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</row>
    <row r="2" spans="1:11" ht="19.5" thickBot="1" x14ac:dyDescent="0.35">
      <c r="A2" s="75" t="s">
        <v>408</v>
      </c>
      <c r="B2" s="462" t="s">
        <v>227</v>
      </c>
      <c r="C2" s="462"/>
      <c r="D2" s="462"/>
      <c r="E2" s="462"/>
      <c r="F2" s="462"/>
      <c r="G2" s="462" t="s">
        <v>228</v>
      </c>
      <c r="H2" s="462"/>
      <c r="I2" s="462"/>
      <c r="J2" s="462"/>
      <c r="K2" s="462"/>
    </row>
    <row r="3" spans="1:11" ht="51.75" customHeight="1" thickBot="1" x14ac:dyDescent="0.3">
      <c r="A3" s="139" t="s">
        <v>432</v>
      </c>
      <c r="B3" s="44" t="s">
        <v>265</v>
      </c>
      <c r="C3" s="44" t="s">
        <v>173</v>
      </c>
      <c r="D3" s="44" t="s">
        <v>224</v>
      </c>
      <c r="E3" s="44" t="s">
        <v>34</v>
      </c>
      <c r="F3" s="44" t="s">
        <v>419</v>
      </c>
      <c r="G3" s="44" t="s">
        <v>265</v>
      </c>
      <c r="H3" s="44" t="s">
        <v>173</v>
      </c>
      <c r="I3" s="44" t="s">
        <v>224</v>
      </c>
      <c r="J3" s="44" t="s">
        <v>34</v>
      </c>
      <c r="K3" s="44" t="s">
        <v>419</v>
      </c>
    </row>
    <row r="4" spans="1:11" ht="15.75" thickBot="1" x14ac:dyDescent="0.3">
      <c r="A4" s="52" t="s">
        <v>414</v>
      </c>
      <c r="B4" s="148">
        <f>'4. Input_traffic data'!D16*'4. Input_traffic data'!D19+'4. Input_traffic data'!D17*'4. Input_traffic data'!D20+'4. Input_traffic data'!D18*'4. Input_traffic data'!D21</f>
        <v>1.5</v>
      </c>
      <c r="C4" s="148">
        <f>'4. Input_traffic data'!G16*'4. Input_traffic data'!G19+'4. Input_traffic data'!G17*'4. Input_traffic data'!G20+'4. Input_traffic data'!G18*'4. Input_traffic data'!G21</f>
        <v>20</v>
      </c>
      <c r="D4" s="148">
        <f>'4. Input_traffic data'!J16*'4. Input_traffic data'!J19+'4. Input_traffic data'!J17*'4. Input_traffic data'!J20+'4. Input_traffic data'!J18*'4. Input_traffic data'!J21</f>
        <v>1</v>
      </c>
      <c r="E4" s="148">
        <f>'4. Input_traffic data'!L16*'4. Input_traffic data'!L19+'4. Input_traffic data'!L17*'4. Input_traffic data'!L20+'4. Input_traffic data'!L18*'4. Input_traffic data'!L21</f>
        <v>1</v>
      </c>
      <c r="F4" s="148">
        <f>'4. Input_traffic data'!M16*'4. Input_traffic data'!M19+'4. Input_traffic data'!M17*'4. Input_traffic data'!M20+'4. Input_traffic data'!M18*'4. Input_traffic data'!M21</f>
        <v>1</v>
      </c>
      <c r="G4" s="148">
        <f>'4. Input_traffic data'!P16*'4. Input_traffic data'!P19+'4. Input_traffic data'!P17*'4. Input_traffic data'!P20+'4. Input_traffic data'!P18*'4. Input_traffic data'!P21</f>
        <v>1.5</v>
      </c>
      <c r="H4" s="148">
        <f>'4. Input_traffic data'!S16*'4. Input_traffic data'!S19+'4. Input_traffic data'!S17*'4. Input_traffic data'!S20+'4. Input_traffic data'!S18*'4. Input_traffic data'!S21</f>
        <v>20</v>
      </c>
      <c r="I4" s="148">
        <f>'4. Input_traffic data'!V16*'4. Input_traffic data'!V19+'4. Input_traffic data'!V17*'4. Input_traffic data'!V20+'4. Input_traffic data'!V18*'4. Input_traffic data'!V21</f>
        <v>1</v>
      </c>
      <c r="J4" s="148">
        <f>'4. Input_traffic data'!X16*'4. Input_traffic data'!X19+'4. Input_traffic data'!X17*'4. Input_traffic data'!X20+'4. Input_traffic data'!X18*'4. Input_traffic data'!X21</f>
        <v>1</v>
      </c>
      <c r="K4" s="148">
        <f>'4. Input_traffic data'!Y16*'4. Input_traffic data'!Y19+'4. Input_traffic data'!Y17*'4. Input_traffic data'!Y20+'4. Input_traffic data'!Y18*'4. Input_traffic data'!Y21</f>
        <v>1</v>
      </c>
    </row>
    <row r="5" spans="1:11" ht="15.75" thickBot="1" x14ac:dyDescent="0.3">
      <c r="A5" s="52" t="s">
        <v>430</v>
      </c>
      <c r="B5" s="149">
        <f>'4. Input_traffic data'!$D$14</f>
        <v>8</v>
      </c>
      <c r="C5" s="149">
        <f>'4. Input_traffic data'!$G$14</f>
        <v>8</v>
      </c>
      <c r="D5" s="149">
        <f>'4. Input_traffic data'!$J$14</f>
        <v>8</v>
      </c>
      <c r="E5" s="149">
        <f>'4. Input_traffic data'!$L$14</f>
        <v>8</v>
      </c>
      <c r="F5" s="149">
        <f>'4. Input_traffic data'!$M$14</f>
        <v>8</v>
      </c>
      <c r="G5" s="149">
        <f>'4. Input_traffic data'!$P$14</f>
        <v>8</v>
      </c>
      <c r="H5" s="149">
        <f>'4. Input_traffic data'!$S$14</f>
        <v>8</v>
      </c>
      <c r="I5" s="149">
        <f>'4. Input_traffic data'!$V$14</f>
        <v>8</v>
      </c>
      <c r="J5" s="149">
        <f>'4. Input_traffic data'!$X$14</f>
        <v>8</v>
      </c>
      <c r="K5" s="150">
        <f>'4. Input_traffic data'!$Y$14</f>
        <v>8</v>
      </c>
    </row>
    <row r="6" spans="1:11" ht="15.75" thickBot="1" x14ac:dyDescent="0.3">
      <c r="A6" s="52" t="s">
        <v>431</v>
      </c>
      <c r="B6" s="149">
        <f>'4. Input_traffic data'!$D$15</f>
        <v>320</v>
      </c>
      <c r="C6" s="149">
        <f>'4. Input_traffic data'!$G$15</f>
        <v>320</v>
      </c>
      <c r="D6" s="149">
        <f>'4. Input_traffic data'!$J$15</f>
        <v>320</v>
      </c>
      <c r="E6" s="149">
        <f>'4. Input_traffic data'!$L$15</f>
        <v>320</v>
      </c>
      <c r="F6" s="149">
        <f>'4. Input_traffic data'!$M$15</f>
        <v>320</v>
      </c>
      <c r="G6" s="149">
        <f>'4. Input_traffic data'!$P$15</f>
        <v>320</v>
      </c>
      <c r="H6" s="149">
        <f>'4. Input_traffic data'!$S$15</f>
        <v>320</v>
      </c>
      <c r="I6" s="149">
        <f>'4. Input_traffic data'!$V$15</f>
        <v>320</v>
      </c>
      <c r="J6" s="149">
        <f>'4. Input_traffic data'!$X$15</f>
        <v>320</v>
      </c>
      <c r="K6" s="150">
        <f>'4. Input_traffic data'!$Y$15</f>
        <v>320</v>
      </c>
    </row>
    <row r="7" spans="1:11" ht="11.1" customHeight="1" thickBot="1" x14ac:dyDescent="0.3">
      <c r="A7" s="458"/>
      <c r="B7" s="459"/>
      <c r="C7" s="459"/>
      <c r="D7" s="459"/>
      <c r="E7" s="459"/>
      <c r="F7" s="459"/>
      <c r="G7" s="459"/>
      <c r="H7" s="459"/>
      <c r="I7" s="459"/>
      <c r="J7" s="459"/>
      <c r="K7" s="460"/>
    </row>
    <row r="8" spans="1:11" ht="16.5" thickBot="1" x14ac:dyDescent="0.3">
      <c r="A8" s="448" t="s">
        <v>152</v>
      </c>
      <c r="B8" s="463"/>
      <c r="C8" s="463"/>
      <c r="D8" s="463"/>
      <c r="E8" s="463"/>
      <c r="F8" s="463"/>
      <c r="G8" s="463"/>
      <c r="H8" s="463"/>
      <c r="I8" s="463"/>
      <c r="J8" s="463"/>
      <c r="K8" s="449"/>
    </row>
    <row r="9" spans="1:11" ht="27.75" customHeight="1" thickBot="1" x14ac:dyDescent="0.3">
      <c r="A9" s="52" t="s">
        <v>240</v>
      </c>
      <c r="B9" s="151">
        <f>'4. Input_traffic data'!D5+'4. Input_traffic data'!E5+'4. Input_traffic data'!F5</f>
        <v>0</v>
      </c>
      <c r="C9" s="151">
        <f>'4. Input_traffic data'!G5+'4. Input_traffic data'!H5+'4. Input_traffic data'!I5</f>
        <v>0</v>
      </c>
      <c r="D9" s="151">
        <f>'4. Input_traffic data'!J5+'4. Input_traffic data'!K5</f>
        <v>0</v>
      </c>
      <c r="E9" s="151">
        <f>'4. Input_traffic data'!L5</f>
        <v>0</v>
      </c>
      <c r="F9" s="151">
        <f>'4. Input_traffic data'!M5+'4. Input_traffic data'!N5+'4. Input_traffic data'!O5</f>
        <v>0</v>
      </c>
      <c r="G9" s="151">
        <f>'4. Input_traffic data'!P5+'4. Input_traffic data'!Q5+'4. Input_traffic data'!R5</f>
        <v>0</v>
      </c>
      <c r="H9" s="151">
        <f>'4. Input_traffic data'!S5+'4. Input_traffic data'!T5+'4. Input_traffic data'!U5</f>
        <v>0</v>
      </c>
      <c r="I9" s="151">
        <f>'4. Input_traffic data'!V5+'4. Input_traffic data'!W5</f>
        <v>0</v>
      </c>
      <c r="J9" s="151">
        <f>'4. Input_traffic data'!X5</f>
        <v>0</v>
      </c>
      <c r="K9" s="151">
        <f>'4. Input_traffic data'!Y5+'4. Input_traffic data'!Z5+'4. Input_traffic data'!AA5</f>
        <v>0</v>
      </c>
    </row>
    <row r="10" spans="1:11" ht="27.75" customHeight="1" thickBot="1" x14ac:dyDescent="0.3">
      <c r="A10" s="52" t="s">
        <v>420</v>
      </c>
      <c r="B10" s="152">
        <f t="shared" ref="B10:K10" si="0">B9*B4</f>
        <v>0</v>
      </c>
      <c r="C10" s="152">
        <f t="shared" si="0"/>
        <v>0</v>
      </c>
      <c r="D10" s="152">
        <f t="shared" si="0"/>
        <v>0</v>
      </c>
      <c r="E10" s="152">
        <f t="shared" si="0"/>
        <v>0</v>
      </c>
      <c r="F10" s="152">
        <f t="shared" si="0"/>
        <v>0</v>
      </c>
      <c r="G10" s="152">
        <f t="shared" si="0"/>
        <v>0</v>
      </c>
      <c r="H10" s="152">
        <f t="shared" si="0"/>
        <v>0</v>
      </c>
      <c r="I10" s="152">
        <f t="shared" si="0"/>
        <v>0</v>
      </c>
      <c r="J10" s="152">
        <f t="shared" si="0"/>
        <v>0</v>
      </c>
      <c r="K10" s="152">
        <f t="shared" si="0"/>
        <v>0</v>
      </c>
    </row>
    <row r="11" spans="1:11" ht="27.75" customHeight="1" thickBot="1" x14ac:dyDescent="0.3">
      <c r="A11" s="52" t="s">
        <v>433</v>
      </c>
      <c r="B11" s="470"/>
      <c r="C11" s="471"/>
      <c r="D11" s="471"/>
      <c r="E11" s="472"/>
      <c r="F11" s="151">
        <f>'4. Input_traffic data'!M6+'4. Input_traffic data'!N6+'4. Input_traffic data'!O6</f>
        <v>0</v>
      </c>
      <c r="G11" s="470"/>
      <c r="H11" s="471"/>
      <c r="I11" s="471"/>
      <c r="J11" s="472"/>
      <c r="K11" s="151">
        <f>'4. Input_traffic data'!Y6+'4. Input_traffic data'!Z6+'4. Input_traffic data'!AA6</f>
        <v>0</v>
      </c>
    </row>
    <row r="12" spans="1:11" ht="30.75" thickBot="1" x14ac:dyDescent="0.3">
      <c r="A12" s="48" t="s">
        <v>368</v>
      </c>
      <c r="B12" s="151">
        <f>B10*'5. Input_monetary values'!$B$28</f>
        <v>0</v>
      </c>
      <c r="C12" s="151">
        <f>C10*'5. Input_monetary values'!$D$28</f>
        <v>0</v>
      </c>
      <c r="D12" s="151">
        <f>D10*'5. Input_monetary values'!$F$28</f>
        <v>0</v>
      </c>
      <c r="E12" s="151">
        <f>E10*'5. Input_monetary values'!$H$28</f>
        <v>0</v>
      </c>
      <c r="F12" s="151">
        <f>F11*'5. Input_monetary values'!$J$28</f>
        <v>0</v>
      </c>
      <c r="G12" s="151">
        <f>G10*'5. Input_monetary values'!$L$28</f>
        <v>0</v>
      </c>
      <c r="H12" s="151">
        <f>H10*'5. Input_monetary values'!$N$28</f>
        <v>0</v>
      </c>
      <c r="I12" s="151">
        <f>I10*'5. Input_monetary values'!$P$28</f>
        <v>0</v>
      </c>
      <c r="J12" s="151">
        <f>J10*'5. Input_monetary values'!$R$28</f>
        <v>0</v>
      </c>
      <c r="K12" s="151">
        <f>K11*'5. Input_monetary values'!$T$28</f>
        <v>0</v>
      </c>
    </row>
    <row r="13" spans="1:11" ht="30.75" thickBot="1" x14ac:dyDescent="0.3">
      <c r="A13" s="30" t="s">
        <v>338</v>
      </c>
      <c r="B13" s="467">
        <f>SUMPRODUCT(B10:F10,B5:F5,B6:F6)</f>
        <v>0</v>
      </c>
      <c r="C13" s="468"/>
      <c r="D13" s="468"/>
      <c r="E13" s="468"/>
      <c r="F13" s="469"/>
      <c r="G13" s="467">
        <f>SUMPRODUCT(G10:K10,G5:K5,G6:K6)</f>
        <v>0</v>
      </c>
      <c r="H13" s="468"/>
      <c r="I13" s="468"/>
      <c r="J13" s="468"/>
      <c r="K13" s="469"/>
    </row>
    <row r="14" spans="1:11" ht="30.75" thickBot="1" x14ac:dyDescent="0.3">
      <c r="A14" s="145" t="s">
        <v>429</v>
      </c>
      <c r="B14" s="464"/>
      <c r="C14" s="465"/>
      <c r="D14" s="465"/>
      <c r="E14" s="466"/>
      <c r="F14" s="106">
        <f>F11*F5*F6</f>
        <v>0</v>
      </c>
      <c r="G14" s="464"/>
      <c r="H14" s="465"/>
      <c r="I14" s="465"/>
      <c r="J14" s="466"/>
      <c r="K14" s="106">
        <f>K11*K5*K6</f>
        <v>0</v>
      </c>
    </row>
    <row r="15" spans="1:11" ht="30.75" thickBot="1" x14ac:dyDescent="0.3">
      <c r="A15" s="30" t="s">
        <v>356</v>
      </c>
      <c r="B15" s="461">
        <f>SUMPRODUCT(B12:F12,B5:F5,B6:F6)</f>
        <v>0</v>
      </c>
      <c r="C15" s="461"/>
      <c r="D15" s="461"/>
      <c r="E15" s="461"/>
      <c r="F15" s="461"/>
      <c r="G15" s="461">
        <f>SUMPRODUCT(G12:K12,G5:K5,G6:K6)</f>
        <v>0</v>
      </c>
      <c r="H15" s="461"/>
      <c r="I15" s="461"/>
      <c r="J15" s="461"/>
      <c r="K15" s="461"/>
    </row>
    <row r="16" spans="1:11" ht="13.5" customHeight="1" thickBot="1" x14ac:dyDescent="0.3">
      <c r="A16" s="458"/>
      <c r="B16" s="459"/>
      <c r="C16" s="459"/>
      <c r="D16" s="459"/>
      <c r="E16" s="459"/>
      <c r="F16" s="459"/>
      <c r="G16" s="459"/>
      <c r="H16" s="459"/>
      <c r="I16" s="459"/>
      <c r="J16" s="459"/>
      <c r="K16" s="460"/>
    </row>
    <row r="17" s="25" customFormat="1" ht="15.75" customHeight="1" x14ac:dyDescent="0.25"/>
    <row r="18" s="25" customFormat="1" x14ac:dyDescent="0.25"/>
    <row r="19" s="25" customFormat="1" x14ac:dyDescent="0.25"/>
    <row r="20" s="25" customFormat="1" x14ac:dyDescent="0.25"/>
    <row r="21" s="25" customFormat="1" x14ac:dyDescent="0.25"/>
    <row r="22" s="25" customFormat="1" x14ac:dyDescent="0.25"/>
    <row r="23" s="25" customFormat="1" x14ac:dyDescent="0.25"/>
    <row r="24" s="25" customFormat="1" x14ac:dyDescent="0.25"/>
    <row r="25" s="25" customFormat="1" x14ac:dyDescent="0.25"/>
    <row r="26" s="25" customFormat="1" x14ac:dyDescent="0.25"/>
    <row r="27" s="25" customFormat="1" x14ac:dyDescent="0.25"/>
    <row r="28" s="25" customFormat="1" x14ac:dyDescent="0.25"/>
    <row r="29" s="25" customFormat="1" x14ac:dyDescent="0.25"/>
    <row r="30" s="25" customFormat="1" x14ac:dyDescent="0.25"/>
    <row r="31" s="25" customFormat="1" x14ac:dyDescent="0.25"/>
    <row r="32" s="25" customFormat="1" x14ac:dyDescent="0.25"/>
    <row r="33" s="25" customFormat="1" x14ac:dyDescent="0.25"/>
    <row r="34" s="25" customFormat="1" x14ac:dyDescent="0.25"/>
    <row r="35" s="25" customFormat="1" x14ac:dyDescent="0.25"/>
    <row r="36" s="25" customFormat="1" x14ac:dyDescent="0.25"/>
    <row r="37" s="25" customFormat="1" x14ac:dyDescent="0.25"/>
    <row r="38" s="25" customFormat="1" x14ac:dyDescent="0.25"/>
    <row r="39" s="25" customFormat="1" x14ac:dyDescent="0.25"/>
    <row r="40" s="25" customFormat="1" x14ac:dyDescent="0.25"/>
    <row r="41" s="25" customFormat="1" x14ac:dyDescent="0.25"/>
    <row r="42" s="25" customFormat="1" x14ac:dyDescent="0.25"/>
  </sheetData>
  <sheetProtection algorithmName="SHA-512" hashValue="o2jImJUvIjSaGgUFAiXlJTf9mxcvHwpLKWgyfMUSnJFz3bmscjPe9EQ8Xaaq1lqfQxZTaPH1bVmtV/T6PB3W9w==" saltValue="axh1yaNHzaaJUuxf0k/kDw==" spinCount="100000" sheet="1" objects="1" scenarios="1" selectLockedCells="1"/>
  <mergeCells count="14">
    <mergeCell ref="A7:K7"/>
    <mergeCell ref="A16:K16"/>
    <mergeCell ref="A1:K1"/>
    <mergeCell ref="G15:K15"/>
    <mergeCell ref="B15:F15"/>
    <mergeCell ref="B2:F2"/>
    <mergeCell ref="G2:K2"/>
    <mergeCell ref="A8:K8"/>
    <mergeCell ref="B14:E14"/>
    <mergeCell ref="G14:J14"/>
    <mergeCell ref="B13:F13"/>
    <mergeCell ref="G13:K13"/>
    <mergeCell ref="B11:E11"/>
    <mergeCell ref="G11:J11"/>
  </mergeCells>
  <pageMargins left="0.7" right="0.7" top="0.78740157499999996" bottom="0.78740157499999996" header="0.3" footer="0.3"/>
  <pageSetup paperSize="9" scale="61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0">
    <tabColor theme="9" tint="0.39997558519241921"/>
    <pageSetUpPr fitToPage="1"/>
  </sheetPr>
  <dimension ref="A1:AU48"/>
  <sheetViews>
    <sheetView zoomScale="80" zoomScaleNormal="80" workbookViewId="0">
      <pane ySplit="3" topLeftCell="A4" activePane="bottomLeft" state="frozen"/>
      <selection pane="bottomLeft" sqref="A1:K27"/>
    </sheetView>
  </sheetViews>
  <sheetFormatPr baseColWidth="10" defaultColWidth="9.140625" defaultRowHeight="15" x14ac:dyDescent="0.25"/>
  <cols>
    <col min="1" max="1" width="50.140625" customWidth="1"/>
    <col min="2" max="2" width="16.42578125" customWidth="1"/>
    <col min="3" max="3" width="16.140625" customWidth="1"/>
    <col min="4" max="4" width="12" customWidth="1"/>
    <col min="5" max="5" width="19.140625" customWidth="1"/>
    <col min="6" max="6" width="19.42578125" customWidth="1"/>
    <col min="7" max="8" width="16.42578125" customWidth="1"/>
    <col min="9" max="9" width="12.5703125" customWidth="1"/>
    <col min="10" max="10" width="19.5703125" customWidth="1"/>
    <col min="11" max="11" width="19.85546875" customWidth="1"/>
    <col min="12" max="47" width="9.140625" style="25"/>
  </cols>
  <sheetData>
    <row r="1" spans="1:47" ht="18.75" customHeight="1" thickBot="1" x14ac:dyDescent="0.3">
      <c r="A1" s="481" t="s">
        <v>127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</row>
    <row r="2" spans="1:47" ht="20.25" customHeight="1" thickBot="1" x14ac:dyDescent="0.3">
      <c r="A2" s="75" t="s">
        <v>151</v>
      </c>
      <c r="B2" s="384" t="s">
        <v>227</v>
      </c>
      <c r="C2" s="384"/>
      <c r="D2" s="384"/>
      <c r="E2" s="384"/>
      <c r="F2" s="384"/>
      <c r="G2" s="384" t="s">
        <v>228</v>
      </c>
      <c r="H2" s="384"/>
      <c r="I2" s="384"/>
      <c r="J2" s="384"/>
      <c r="K2" s="384"/>
    </row>
    <row r="3" spans="1:47" s="1" customFormat="1" ht="47.25" customHeight="1" thickBot="1" x14ac:dyDescent="0.3">
      <c r="A3" s="63" t="s">
        <v>432</v>
      </c>
      <c r="B3" s="47" t="s">
        <v>231</v>
      </c>
      <c r="C3" s="49" t="s">
        <v>246</v>
      </c>
      <c r="D3" s="47" t="s">
        <v>235</v>
      </c>
      <c r="E3" s="49" t="s">
        <v>242</v>
      </c>
      <c r="F3" s="49" t="s">
        <v>245</v>
      </c>
      <c r="G3" s="47" t="s">
        <v>231</v>
      </c>
      <c r="H3" s="49" t="s">
        <v>246</v>
      </c>
      <c r="I3" s="47" t="s">
        <v>235</v>
      </c>
      <c r="J3" s="49" t="s">
        <v>242</v>
      </c>
      <c r="K3" s="49" t="s">
        <v>245</v>
      </c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1:47" ht="31.5" customHeight="1" thickBot="1" x14ac:dyDescent="0.3">
      <c r="A4" s="48" t="s">
        <v>215</v>
      </c>
      <c r="B4" s="42">
        <f>'4. Input_traffic data'!D$7*'4. Input_traffic data'!D8</f>
        <v>0</v>
      </c>
      <c r="C4" s="42">
        <f>'4. Input_traffic data'!F$7*'4. Input_traffic data'!F8</f>
        <v>0</v>
      </c>
      <c r="D4" s="42">
        <f>'4. Input_traffic data'!G$7*'4. Input_traffic data'!G8</f>
        <v>0</v>
      </c>
      <c r="E4" s="42">
        <f>'4. Input_traffic data'!M$7*'4. Input_traffic data'!M8</f>
        <v>0</v>
      </c>
      <c r="F4" s="42">
        <f>'4. Input_traffic data'!O$7*'4. Input_traffic data'!O8</f>
        <v>0</v>
      </c>
      <c r="G4" s="42">
        <f>'4. Input_traffic data'!P$7*'4. Input_traffic data'!P8</f>
        <v>0</v>
      </c>
      <c r="H4" s="42">
        <f>'4. Input_traffic data'!R$7*'4. Input_traffic data'!R8</f>
        <v>0</v>
      </c>
      <c r="I4" s="42">
        <f>'4. Input_traffic data'!S$7*'4. Input_traffic data'!S8</f>
        <v>0</v>
      </c>
      <c r="J4" s="42">
        <f>'4. Input_traffic data'!Y$7*'4. Input_traffic data'!Y8</f>
        <v>0</v>
      </c>
      <c r="K4" s="42">
        <f>'4. Input_traffic data'!AA$7*'4. Input_traffic data'!AA8</f>
        <v>0</v>
      </c>
    </row>
    <row r="5" spans="1:47" ht="30.75" thickBot="1" x14ac:dyDescent="0.3">
      <c r="A5" s="48" t="s">
        <v>216</v>
      </c>
      <c r="B5" s="42">
        <f>'4. Input_traffic data'!D$7*'4. Input_traffic data'!D9</f>
        <v>0</v>
      </c>
      <c r="C5" s="42">
        <f>'4. Input_traffic data'!F$7*'4. Input_traffic data'!F9</f>
        <v>0</v>
      </c>
      <c r="D5" s="42">
        <f>'4. Input_traffic data'!G$7*'4. Input_traffic data'!G9</f>
        <v>0</v>
      </c>
      <c r="E5" s="42">
        <f>'4. Input_traffic data'!M$7*'4. Input_traffic data'!M9</f>
        <v>0</v>
      </c>
      <c r="F5" s="42">
        <f>'4. Input_traffic data'!O$7*'4. Input_traffic data'!O9</f>
        <v>0</v>
      </c>
      <c r="G5" s="42">
        <f>'4. Input_traffic data'!P$7*'4. Input_traffic data'!P9</f>
        <v>0</v>
      </c>
      <c r="H5" s="42">
        <f>'4. Input_traffic data'!R$7*'4. Input_traffic data'!R9</f>
        <v>0</v>
      </c>
      <c r="I5" s="42">
        <f>'4. Input_traffic data'!S$7*'4. Input_traffic data'!S9</f>
        <v>0</v>
      </c>
      <c r="J5" s="42">
        <f>'4. Input_traffic data'!Y$7*'4. Input_traffic data'!Y9</f>
        <v>0</v>
      </c>
      <c r="K5" s="42">
        <f>'4. Input_traffic data'!AA$7*'4. Input_traffic data'!AA9</f>
        <v>0</v>
      </c>
    </row>
    <row r="6" spans="1:47" ht="30.75" thickBot="1" x14ac:dyDescent="0.3">
      <c r="A6" s="48" t="s">
        <v>244</v>
      </c>
      <c r="B6" s="42">
        <f>'4. Input_traffic data'!D$7*'4. Input_traffic data'!D10</f>
        <v>0</v>
      </c>
      <c r="C6" s="42">
        <f>'4. Input_traffic data'!F$7*'4. Input_traffic data'!F10</f>
        <v>0</v>
      </c>
      <c r="D6" s="42">
        <f>'4. Input_traffic data'!G$7*'4. Input_traffic data'!G10</f>
        <v>0</v>
      </c>
      <c r="E6" s="42">
        <f>'4. Input_traffic data'!M$7*'4. Input_traffic data'!M10</f>
        <v>0</v>
      </c>
      <c r="F6" s="42">
        <f>'4. Input_traffic data'!O$7*'4. Input_traffic data'!O10</f>
        <v>0</v>
      </c>
      <c r="G6" s="42">
        <f>'4. Input_traffic data'!P$7*'4. Input_traffic data'!P10</f>
        <v>0</v>
      </c>
      <c r="H6" s="42">
        <f>'4. Input_traffic data'!R$7*'4. Input_traffic data'!R10</f>
        <v>0</v>
      </c>
      <c r="I6" s="42">
        <f>'4. Input_traffic data'!S$7*'4. Input_traffic data'!S10</f>
        <v>0</v>
      </c>
      <c r="J6" s="42">
        <f>'4. Input_traffic data'!Y$7*'4. Input_traffic data'!Y10</f>
        <v>0</v>
      </c>
      <c r="K6" s="42">
        <f>'4. Input_traffic data'!AA$7*'4. Input_traffic data'!AA10</f>
        <v>0</v>
      </c>
    </row>
    <row r="7" spans="1:47" ht="30.75" thickBot="1" x14ac:dyDescent="0.3">
      <c r="A7" s="48" t="s">
        <v>218</v>
      </c>
      <c r="B7" s="42">
        <f>'4. Input_traffic data'!D$7*'4. Input_traffic data'!D11</f>
        <v>0</v>
      </c>
      <c r="C7" s="42">
        <f>'4. Input_traffic data'!F$7*'4. Input_traffic data'!F11</f>
        <v>0</v>
      </c>
      <c r="D7" s="42">
        <f>'4. Input_traffic data'!G$7*'4. Input_traffic data'!G11</f>
        <v>0</v>
      </c>
      <c r="E7" s="42">
        <f>'4. Input_traffic data'!M$7*'4. Input_traffic data'!M11</f>
        <v>0</v>
      </c>
      <c r="F7" s="42">
        <f>'4. Input_traffic data'!O$7*'4. Input_traffic data'!O11</f>
        <v>0</v>
      </c>
      <c r="G7" s="42">
        <f>'4. Input_traffic data'!P$7*'4. Input_traffic data'!P11</f>
        <v>0</v>
      </c>
      <c r="H7" s="42">
        <f>'4. Input_traffic data'!R$7*'4. Input_traffic data'!R11</f>
        <v>0</v>
      </c>
      <c r="I7" s="42">
        <f>'4. Input_traffic data'!S$7*'4. Input_traffic data'!S11</f>
        <v>0</v>
      </c>
      <c r="J7" s="42">
        <f>'4. Input_traffic data'!Y$7*'4. Input_traffic data'!Y11</f>
        <v>0</v>
      </c>
      <c r="K7" s="42">
        <f>'4. Input_traffic data'!AA$7*'4. Input_traffic data'!AA11</f>
        <v>0</v>
      </c>
    </row>
    <row r="8" spans="1:47" ht="15.75" thickBot="1" x14ac:dyDescent="0.3">
      <c r="A8" s="48" t="s">
        <v>430</v>
      </c>
      <c r="B8" s="149">
        <f>'4. Input_traffic data'!$D$14</f>
        <v>8</v>
      </c>
      <c r="C8" s="149">
        <f>'4. Input_traffic data'!$D$14</f>
        <v>8</v>
      </c>
      <c r="D8" s="149">
        <f>'4. Input_traffic data'!$G$14</f>
        <v>8</v>
      </c>
      <c r="E8" s="149">
        <f>'4. Input_traffic data'!$M$14</f>
        <v>8</v>
      </c>
      <c r="F8" s="149">
        <f>'4. Input_traffic data'!$M$14</f>
        <v>8</v>
      </c>
      <c r="G8" s="149">
        <f>'4. Input_traffic data'!$P$14</f>
        <v>8</v>
      </c>
      <c r="H8" s="149">
        <f>'4. Input_traffic data'!$P$14</f>
        <v>8</v>
      </c>
      <c r="I8" s="149">
        <f>'4. Input_traffic data'!$S$14</f>
        <v>8</v>
      </c>
      <c r="J8" s="150">
        <f>'4. Input_traffic data'!$Y$14</f>
        <v>8</v>
      </c>
      <c r="K8" s="150">
        <f>'4. Input_traffic data'!$Y$14</f>
        <v>8</v>
      </c>
    </row>
    <row r="9" spans="1:47" ht="15.75" thickBot="1" x14ac:dyDescent="0.3">
      <c r="A9" s="48" t="s">
        <v>431</v>
      </c>
      <c r="B9" s="149">
        <f>'4. Input_traffic data'!$D$15</f>
        <v>320</v>
      </c>
      <c r="C9" s="149">
        <f>'4. Input_traffic data'!$D$15</f>
        <v>320</v>
      </c>
      <c r="D9" s="149">
        <f>'4. Input_traffic data'!$G$15</f>
        <v>320</v>
      </c>
      <c r="E9" s="149">
        <f>'4. Input_traffic data'!$M$15</f>
        <v>320</v>
      </c>
      <c r="F9" s="149">
        <f>'4. Input_traffic data'!$M$15</f>
        <v>320</v>
      </c>
      <c r="G9" s="149">
        <f>'4. Input_traffic data'!$P$15</f>
        <v>320</v>
      </c>
      <c r="H9" s="149">
        <f>'4. Input_traffic data'!$P$15</f>
        <v>320</v>
      </c>
      <c r="I9" s="149">
        <f>'4. Input_traffic data'!$S$15</f>
        <v>320</v>
      </c>
      <c r="J9" s="150">
        <f>'4. Input_traffic data'!$Y$15</f>
        <v>320</v>
      </c>
      <c r="K9" s="150">
        <f>'4. Input_traffic data'!$Y$15</f>
        <v>320</v>
      </c>
    </row>
    <row r="10" spans="1:47" ht="11.25" customHeight="1" thickBot="1" x14ac:dyDescent="0.3">
      <c r="A10" s="442"/>
      <c r="B10" s="443"/>
      <c r="C10" s="443"/>
      <c r="D10" s="443"/>
      <c r="E10" s="443"/>
      <c r="F10" s="443"/>
      <c r="G10" s="443"/>
      <c r="H10" s="443"/>
      <c r="I10" s="443"/>
      <c r="J10" s="443"/>
      <c r="K10" s="473"/>
    </row>
    <row r="11" spans="1:47" ht="19.5" customHeight="1" thickBot="1" x14ac:dyDescent="0.3">
      <c r="A11" s="474" t="s">
        <v>273</v>
      </c>
      <c r="B11" s="474"/>
      <c r="C11" s="474"/>
      <c r="D11" s="474"/>
      <c r="E11" s="474"/>
      <c r="F11" s="474"/>
      <c r="G11" s="474"/>
      <c r="H11" s="474"/>
      <c r="I11" s="474"/>
      <c r="J11" s="474"/>
      <c r="K11" s="474"/>
    </row>
    <row r="12" spans="1:47" ht="33.75" thickBot="1" x14ac:dyDescent="0.3">
      <c r="A12" s="48" t="s">
        <v>249</v>
      </c>
      <c r="B12" s="50">
        <f>(B$4*'6. Conversion_factors'!B$10+B$5*'6. Conversion_factors'!B$11+B$6*'6. Conversion_factors'!B$12+B$7*'6. Conversion_factors'!B$13)/1000000</f>
        <v>0</v>
      </c>
      <c r="C12" s="50">
        <f>(C$4*'6. Conversion_factors'!C$10+C$5*'6. Conversion_factors'!C$11+C$6*'6. Conversion_factors'!C$12+C$7*'6. Conversion_factors'!C$13)/1000000</f>
        <v>0</v>
      </c>
      <c r="D12" s="50">
        <f>(D$4*'6. Conversion_factors'!D$10+D$5*'6. Conversion_factors'!D$11+D$6*'6. Conversion_factors'!D$12+D$7*'6. Conversion_factors'!D$13)/1000000</f>
        <v>0</v>
      </c>
      <c r="E12" s="50">
        <f>(E$4*'6. Conversion_factors'!E$10+E$5*'6. Conversion_factors'!E$11+E$6*'6. Conversion_factors'!E$12+E$7*'6. Conversion_factors'!E$13)/1000000</f>
        <v>0</v>
      </c>
      <c r="F12" s="50">
        <f>(F$4*'6. Conversion_factors'!F$10+F$5*'6. Conversion_factors'!F$11+F$6*'6. Conversion_factors'!F$12+F$7*'6. Conversion_factors'!F$13)/1000000</f>
        <v>0</v>
      </c>
      <c r="G12" s="50">
        <f>(G$4*'6. Conversion_factors'!B$10+G$5*'6. Conversion_factors'!B$11+G$6*'6. Conversion_factors'!B$12+G$7*'6. Conversion_factors'!B$13)/1000000</f>
        <v>0</v>
      </c>
      <c r="H12" s="50">
        <f>(H$4*'6. Conversion_factors'!C$10+H$5*'6. Conversion_factors'!C$11+H$6*'6. Conversion_factors'!C$12+H$7*'6. Conversion_factors'!C$13)/1000000</f>
        <v>0</v>
      </c>
      <c r="I12" s="50">
        <f>(I$4*'6. Conversion_factors'!D$10+I$5*'6. Conversion_factors'!D$11+I$6*'6. Conversion_factors'!D$12+I$7*'6. Conversion_factors'!D$13)/1000000</f>
        <v>0</v>
      </c>
      <c r="J12" s="50">
        <f>(J$4*'6. Conversion_factors'!E$10+J$5*'6. Conversion_factors'!E$11+J$6*'6. Conversion_factors'!E$12+J$7*'6. Conversion_factors'!E$13)/1000000</f>
        <v>0</v>
      </c>
      <c r="K12" s="50">
        <f>(K$4*'6. Conversion_factors'!F$10+K$5*'6. Conversion_factors'!F$11+K$6*'6. Conversion_factors'!F$12+K$7*'6. Conversion_factors'!F$13)/1000000</f>
        <v>0</v>
      </c>
    </row>
    <row r="13" spans="1:47" ht="33.75" thickBot="1" x14ac:dyDescent="0.3">
      <c r="A13" s="30" t="s">
        <v>342</v>
      </c>
      <c r="B13" s="482">
        <f>SUMPRODUCT(B12:F12,B8:F8,B9:F9)</f>
        <v>0</v>
      </c>
      <c r="C13" s="482"/>
      <c r="D13" s="482"/>
      <c r="E13" s="482"/>
      <c r="F13" s="482"/>
      <c r="G13" s="482">
        <f>SUMPRODUCT(G12:K12,G8:K8,G9:K9)</f>
        <v>0</v>
      </c>
      <c r="H13" s="482"/>
      <c r="I13" s="482"/>
      <c r="J13" s="482"/>
      <c r="K13" s="482"/>
    </row>
    <row r="14" spans="1:47" ht="33.75" thickBot="1" x14ac:dyDescent="0.3">
      <c r="A14" s="30" t="s">
        <v>111</v>
      </c>
      <c r="B14" s="476">
        <f>B13*'5. Input_monetary values'!$B$53</f>
        <v>0</v>
      </c>
      <c r="C14" s="476"/>
      <c r="D14" s="476"/>
      <c r="E14" s="476"/>
      <c r="F14" s="476"/>
      <c r="G14" s="476">
        <f>G13*'5. Input_monetary values'!$B$53</f>
        <v>0</v>
      </c>
      <c r="H14" s="476"/>
      <c r="I14" s="476"/>
      <c r="J14" s="476"/>
      <c r="K14" s="476"/>
    </row>
    <row r="15" spans="1:47" s="13" customFormat="1" ht="12" customHeight="1" thickBot="1" x14ac:dyDescent="0.3">
      <c r="A15" s="442"/>
      <c r="B15" s="443"/>
      <c r="C15" s="443"/>
      <c r="D15" s="443"/>
      <c r="E15" s="443"/>
      <c r="F15" s="443"/>
      <c r="G15" s="443"/>
      <c r="H15" s="443"/>
      <c r="I15" s="443"/>
      <c r="J15" s="443"/>
      <c r="K15" s="473"/>
      <c r="L15" s="25"/>
      <c r="M15" s="25"/>
    </row>
    <row r="16" spans="1:47" ht="18.75" customHeight="1" thickBot="1" x14ac:dyDescent="0.3">
      <c r="A16" s="474" t="s">
        <v>274</v>
      </c>
      <c r="B16" s="474"/>
      <c r="C16" s="474"/>
      <c r="D16" s="474"/>
      <c r="E16" s="474"/>
      <c r="F16" s="474"/>
      <c r="G16" s="474"/>
      <c r="H16" s="474"/>
      <c r="I16" s="474"/>
      <c r="J16" s="474"/>
      <c r="K16" s="474"/>
      <c r="N16" s="246"/>
      <c r="O16" s="246"/>
    </row>
    <row r="17" spans="1:47" ht="33.75" thickBot="1" x14ac:dyDescent="0.3">
      <c r="A17" s="48" t="s">
        <v>250</v>
      </c>
      <c r="B17" s="50">
        <f>(B$4*'6. Conversion_factors'!B$17+B$5*'6. Conversion_factors'!B$18+B$6*'6. Conversion_factors'!B$19+B$7*'6. Conversion_factors'!B$20)/1000000</f>
        <v>0</v>
      </c>
      <c r="C17" s="50">
        <f>(C$4*'6. Conversion_factors'!C$17+C$5*'6. Conversion_factors'!C$18+C$6*'6. Conversion_factors'!C$19+C$7*'6. Conversion_factors'!C$20)/1000000</f>
        <v>0</v>
      </c>
      <c r="D17" s="50">
        <f>(D$4*'6. Conversion_factors'!D$17+D$5*'6. Conversion_factors'!D$18+D$6*'6. Conversion_factors'!D$19+D$7*'6. Conversion_factors'!D$20)/1000000</f>
        <v>0</v>
      </c>
      <c r="E17" s="50">
        <f>(E$4*'6. Conversion_factors'!E$17+E$5*'6. Conversion_factors'!E$18+E$6*'6. Conversion_factors'!E$19+E$7*'6. Conversion_factors'!E$20)/1000000</f>
        <v>0</v>
      </c>
      <c r="F17" s="50">
        <f>(F$4*'6. Conversion_factors'!F$17+F$5*'6. Conversion_factors'!F$18+F$6*'6. Conversion_factors'!F$19+F$7*'6. Conversion_factors'!F$20)/1000000</f>
        <v>0</v>
      </c>
      <c r="G17" s="50">
        <f>(G$4*'6. Conversion_factors'!B$17+G$5*'6. Conversion_factors'!B$18+G$6*'6. Conversion_factors'!B$19+G$7*'6. Conversion_factors'!B$20)/1000000</f>
        <v>0</v>
      </c>
      <c r="H17" s="50">
        <f>(H$4*'6. Conversion_factors'!C$17+H$5*'6. Conversion_factors'!C$18+H$6*'6. Conversion_factors'!C$19+H$7*'6. Conversion_factors'!C$20)/1000000</f>
        <v>0</v>
      </c>
      <c r="I17" s="50">
        <f>(I$4*'6. Conversion_factors'!D$17+I$5*'6. Conversion_factors'!D$18+I$6*'6. Conversion_factors'!D$19+I$7*'6. Conversion_factors'!D$20)/1000000</f>
        <v>0</v>
      </c>
      <c r="J17" s="50">
        <f>(J$4*'6. Conversion_factors'!E$17+J$5*'6. Conversion_factors'!E$18+J$6*'6. Conversion_factors'!E$19+J$7*'6. Conversion_factors'!E$20)/1000000</f>
        <v>0</v>
      </c>
      <c r="K17" s="50">
        <f>(K$4*'6. Conversion_factors'!F$17+K$5*'6. Conversion_factors'!F$18+K$6*'6. Conversion_factors'!F$19+K$7*'6. Conversion_factors'!F$20)/1000000</f>
        <v>0</v>
      </c>
    </row>
    <row r="18" spans="1:47" ht="33.75" thickBot="1" x14ac:dyDescent="0.3">
      <c r="A18" s="30" t="s">
        <v>343</v>
      </c>
      <c r="B18" s="477">
        <f>SUMPRODUCT(B17:F17,B8:F8,B9:F9)</f>
        <v>0</v>
      </c>
      <c r="C18" s="477"/>
      <c r="D18" s="477"/>
      <c r="E18" s="477"/>
      <c r="F18" s="477"/>
      <c r="G18" s="477">
        <f>SUMPRODUCT(G17:K17,G8:K8,G9:K9)</f>
        <v>0</v>
      </c>
      <c r="H18" s="477"/>
      <c r="I18" s="477"/>
      <c r="J18" s="477"/>
      <c r="K18" s="477"/>
    </row>
    <row r="19" spans="1:47" ht="33.75" thickBot="1" x14ac:dyDescent="0.3">
      <c r="A19" s="30" t="s">
        <v>112</v>
      </c>
      <c r="B19" s="476">
        <f>B18*'5. Input_monetary values'!$C$53</f>
        <v>0</v>
      </c>
      <c r="C19" s="476"/>
      <c r="D19" s="476"/>
      <c r="E19" s="476"/>
      <c r="F19" s="476"/>
      <c r="G19" s="476">
        <f>G18*'5. Input_monetary values'!$C$53</f>
        <v>0</v>
      </c>
      <c r="H19" s="476"/>
      <c r="I19" s="476"/>
      <c r="J19" s="476"/>
      <c r="K19" s="476"/>
    </row>
    <row r="20" spans="1:47" s="13" customFormat="1" ht="12.75" customHeight="1" thickBot="1" x14ac:dyDescent="0.3">
      <c r="A20" s="442"/>
      <c r="B20" s="443"/>
      <c r="C20" s="443"/>
      <c r="D20" s="443"/>
      <c r="E20" s="443"/>
      <c r="F20" s="443"/>
      <c r="G20" s="443"/>
      <c r="H20" s="443"/>
      <c r="I20" s="443"/>
      <c r="J20" s="443"/>
      <c r="K20" s="473"/>
      <c r="L20" s="25"/>
      <c r="M20" s="25"/>
      <c r="N20" s="25"/>
      <c r="O20" s="25"/>
    </row>
    <row r="21" spans="1:47" ht="16.5" thickBot="1" x14ac:dyDescent="0.3">
      <c r="A21" s="474" t="s">
        <v>390</v>
      </c>
      <c r="B21" s="474"/>
      <c r="C21" s="474"/>
      <c r="D21" s="474"/>
      <c r="E21" s="474"/>
      <c r="F21" s="474"/>
      <c r="G21" s="474"/>
      <c r="H21" s="474"/>
      <c r="I21" s="474"/>
      <c r="J21" s="474"/>
      <c r="K21" s="474"/>
    </row>
    <row r="22" spans="1:47" ht="30.75" thickBot="1" x14ac:dyDescent="0.3">
      <c r="A22" s="48" t="s">
        <v>251</v>
      </c>
      <c r="B22" s="50">
        <f>(B$4*'6. Conversion_factors'!B$24+B$5*'6. Conversion_factors'!B$25+B$6*'6. Conversion_factors'!B$26+B$7*'6. Conversion_factors'!B$27)/1000000</f>
        <v>0</v>
      </c>
      <c r="C22" s="50">
        <f>(C$4*'6. Conversion_factors'!C$24+C$5*'6. Conversion_factors'!C$25+C$6*'6. Conversion_factors'!C$26+C$7*'6. Conversion_factors'!C$27)/1000000</f>
        <v>0</v>
      </c>
      <c r="D22" s="50">
        <f>(D$4*'6. Conversion_factors'!D$24+D$5*'6. Conversion_factors'!D$25+D$6*'6. Conversion_factors'!D$26+D$7*'6. Conversion_factors'!D$27)/1000000</f>
        <v>0</v>
      </c>
      <c r="E22" s="50">
        <f>(E$4*'6. Conversion_factors'!E$24+E$5*'6. Conversion_factors'!E$25+E$6*'6. Conversion_factors'!E$26+E$7*'6. Conversion_factors'!E$27)/1000000</f>
        <v>0</v>
      </c>
      <c r="F22" s="50">
        <f>(F$4*'6. Conversion_factors'!F$24+F$5*'6. Conversion_factors'!F$25+F$6*'6. Conversion_factors'!F$26+F$7*'6. Conversion_factors'!F$27)/1000000</f>
        <v>0</v>
      </c>
      <c r="G22" s="50">
        <f>(G$4*'6. Conversion_factors'!B$24+G$5*'6. Conversion_factors'!B$25+G$6*'6. Conversion_factors'!B$26+G$7*'6. Conversion_factors'!B$27)/1000000</f>
        <v>0</v>
      </c>
      <c r="H22" s="50">
        <f>(H$4*'6. Conversion_factors'!C$24+H$5*'6. Conversion_factors'!C$25+H$6*'6. Conversion_factors'!C$26+H$7*'6. Conversion_factors'!C$27)/1000000</f>
        <v>0</v>
      </c>
      <c r="I22" s="50">
        <f>(I$4*'6. Conversion_factors'!D$24+I$5*'6. Conversion_factors'!D$25+I$6*'6. Conversion_factors'!D$26+I$7*'6. Conversion_factors'!D$27)/1000000</f>
        <v>0</v>
      </c>
      <c r="J22" s="50">
        <f>(J$4*'6. Conversion_factors'!E$24+J$5*'6. Conversion_factors'!E$25+J$6*'6. Conversion_factors'!E$26+J$7*'6. Conversion_factors'!E$27)/1000000</f>
        <v>0</v>
      </c>
      <c r="K22" s="50">
        <f>(K$4*'6. Conversion_factors'!F$24+K$5*'6. Conversion_factors'!F$25+K$6*'6. Conversion_factors'!F$26+K$7*'6. Conversion_factors'!F$27)/1000000</f>
        <v>0</v>
      </c>
    </row>
    <row r="23" spans="1:47" ht="15" customHeight="1" thickBot="1" x14ac:dyDescent="0.3">
      <c r="A23" s="51" t="s">
        <v>299</v>
      </c>
      <c r="B23" s="475"/>
      <c r="C23" s="475"/>
      <c r="D23" s="475"/>
      <c r="E23" s="475"/>
      <c r="F23" s="475"/>
      <c r="G23" s="475"/>
      <c r="H23" s="475"/>
      <c r="I23" s="475"/>
      <c r="J23" s="475"/>
      <c r="K23" s="475"/>
    </row>
    <row r="24" spans="1:47" ht="45.75" thickBot="1" x14ac:dyDescent="0.3">
      <c r="A24" s="48" t="s">
        <v>252</v>
      </c>
      <c r="B24" s="50">
        <f>(('4. Input_traffic data'!D7+'4. Input_traffic data'!E7)*'6. Conversion_factors'!B28)/1000000</f>
        <v>0</v>
      </c>
      <c r="C24" s="50">
        <f>('4. Input_traffic data'!F7*'6. Conversion_factors'!C28)/1000000</f>
        <v>0</v>
      </c>
      <c r="D24" s="50">
        <f>(('4. Input_traffic data'!G7+'4. Input_traffic data'!H7)*'6. Conversion_factors'!D28)/1000000</f>
        <v>0</v>
      </c>
      <c r="E24" s="50">
        <f>(('4. Input_traffic data'!M7+'4. Input_traffic data'!N7)*'6. Conversion_factors'!E28)/1000000</f>
        <v>0</v>
      </c>
      <c r="F24" s="50">
        <f>('4. Input_traffic data'!O7*'6. Conversion_factors'!F28)/1000000</f>
        <v>0</v>
      </c>
      <c r="G24" s="50">
        <f>(('4. Input_traffic data'!P7+'4. Input_traffic data'!Q7)*'6. Conversion_factors'!B28)/1000000</f>
        <v>0</v>
      </c>
      <c r="H24" s="50">
        <f>('4. Input_traffic data'!R7*'6. Conversion_factors'!C28)/1000000</f>
        <v>0</v>
      </c>
      <c r="I24" s="50">
        <f>(('4. Input_traffic data'!S7+'4. Input_traffic data'!T7)*'6. Conversion_factors'!D28)/1000000</f>
        <v>0</v>
      </c>
      <c r="J24" s="50">
        <f>(('4. Input_traffic data'!Y7+'4. Input_traffic data'!Z7)*'6. Conversion_factors'!E28)/1000000</f>
        <v>0</v>
      </c>
      <c r="K24" s="50">
        <f>('4. Input_traffic data'!AA7*'6. Conversion_factors'!F28)/1000000</f>
        <v>0</v>
      </c>
    </row>
    <row r="25" spans="1:47" ht="34.5" customHeight="1" thickBot="1" x14ac:dyDescent="0.3">
      <c r="A25" s="30" t="s">
        <v>344</v>
      </c>
      <c r="B25" s="477">
        <f>SUMPRODUCT(B22:F22+B24:F24,B8:F8,B9:F9)</f>
        <v>0</v>
      </c>
      <c r="C25" s="477"/>
      <c r="D25" s="477"/>
      <c r="E25" s="477"/>
      <c r="F25" s="477"/>
      <c r="G25" s="478">
        <f>SUMPRODUCT(G22:K22+G24:K24,G8:K8,G9:K9)</f>
        <v>0</v>
      </c>
      <c r="H25" s="479"/>
      <c r="I25" s="479"/>
      <c r="J25" s="479"/>
      <c r="K25" s="480"/>
    </row>
    <row r="26" spans="1:47" ht="30.75" thickBot="1" x14ac:dyDescent="0.3">
      <c r="A26" s="30" t="s">
        <v>113</v>
      </c>
      <c r="B26" s="461">
        <f>B25*'5. Input_monetary values'!$D$53</f>
        <v>0</v>
      </c>
      <c r="C26" s="461"/>
      <c r="D26" s="461"/>
      <c r="E26" s="461"/>
      <c r="F26" s="461"/>
      <c r="G26" s="461">
        <f>G25*'5. Input_monetary values'!$D$53</f>
        <v>0</v>
      </c>
      <c r="H26" s="461"/>
      <c r="I26" s="461"/>
      <c r="J26" s="461"/>
      <c r="K26" s="461"/>
    </row>
    <row r="27" spans="1:47" s="1" customFormat="1" ht="13.5" customHeight="1" thickBot="1" x14ac:dyDescent="0.3">
      <c r="A27" s="442"/>
      <c r="B27" s="443"/>
      <c r="C27" s="443"/>
      <c r="D27" s="443"/>
      <c r="E27" s="443"/>
      <c r="F27" s="443"/>
      <c r="G27" s="443"/>
      <c r="H27" s="443"/>
      <c r="I27" s="443"/>
      <c r="J27" s="443"/>
      <c r="K27" s="473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</row>
    <row r="28" spans="1:47" s="25" customFormat="1" x14ac:dyDescent="0.25"/>
    <row r="29" spans="1:47" s="25" customFormat="1" x14ac:dyDescent="0.25"/>
    <row r="30" spans="1:47" s="25" customFormat="1" x14ac:dyDescent="0.25"/>
    <row r="31" spans="1:47" s="25" customFormat="1" x14ac:dyDescent="0.25"/>
    <row r="32" spans="1:47" s="25" customFormat="1" x14ac:dyDescent="0.25"/>
    <row r="33" s="25" customFormat="1" x14ac:dyDescent="0.25"/>
    <row r="34" s="25" customFormat="1" x14ac:dyDescent="0.25"/>
    <row r="35" s="25" customFormat="1" x14ac:dyDescent="0.25"/>
    <row r="36" s="25" customFormat="1" x14ac:dyDescent="0.25"/>
    <row r="37" s="25" customFormat="1" x14ac:dyDescent="0.25"/>
    <row r="38" s="25" customFormat="1" x14ac:dyDescent="0.25"/>
    <row r="39" s="25" customFormat="1" x14ac:dyDescent="0.25"/>
    <row r="40" s="25" customFormat="1" x14ac:dyDescent="0.25"/>
    <row r="41" s="25" customFormat="1" x14ac:dyDescent="0.25"/>
    <row r="42" s="25" customFormat="1" x14ac:dyDescent="0.25"/>
    <row r="43" s="25" customFormat="1" x14ac:dyDescent="0.25"/>
    <row r="44" s="25" customFormat="1" x14ac:dyDescent="0.25"/>
    <row r="45" s="25" customFormat="1" x14ac:dyDescent="0.25"/>
    <row r="46" s="25" customFormat="1" x14ac:dyDescent="0.25"/>
    <row r="47" s="25" customFormat="1" x14ac:dyDescent="0.25"/>
    <row r="48" s="25" customFormat="1" x14ac:dyDescent="0.25"/>
  </sheetData>
  <sheetProtection algorithmName="SHA-512" hashValue="260g7jL2LI2EIZv16ixjFQwTHhQ+1unOKhk4VtU6pQlxoEWNS3O7d8lRVrRCI1xeT2/tCpiec/xypXitM0aKEw==" saltValue="EYGZCZvfq/0JYQhyEH1VCA==" spinCount="100000" sheet="1" selectLockedCells="1"/>
  <mergeCells count="23">
    <mergeCell ref="A1:K1"/>
    <mergeCell ref="B2:F2"/>
    <mergeCell ref="G2:K2"/>
    <mergeCell ref="A11:K11"/>
    <mergeCell ref="B14:F14"/>
    <mergeCell ref="G14:K14"/>
    <mergeCell ref="B13:F13"/>
    <mergeCell ref="G13:K13"/>
    <mergeCell ref="A10:K10"/>
    <mergeCell ref="A15:K15"/>
    <mergeCell ref="A20:K20"/>
    <mergeCell ref="A27:K27"/>
    <mergeCell ref="B26:F26"/>
    <mergeCell ref="G26:K26"/>
    <mergeCell ref="A16:K16"/>
    <mergeCell ref="B23:K23"/>
    <mergeCell ref="B19:F19"/>
    <mergeCell ref="G19:K19"/>
    <mergeCell ref="A21:K21"/>
    <mergeCell ref="B18:F18"/>
    <mergeCell ref="G18:K18"/>
    <mergeCell ref="B25:F25"/>
    <mergeCell ref="G25:K25"/>
  </mergeCells>
  <pageMargins left="0.7" right="0.7" top="0.75" bottom="0.75" header="0.3" footer="0.3"/>
  <pageSetup paperSize="9" scale="6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11</vt:i4>
      </vt:variant>
    </vt:vector>
  </HeadingPairs>
  <TitlesOfParts>
    <vt:vector size="28" baseType="lpstr">
      <vt:lpstr>1. Cover page</vt:lpstr>
      <vt:lpstr>2. Target system</vt:lpstr>
      <vt:lpstr>3. General project description</vt:lpstr>
      <vt:lpstr>4. Input_traffic data</vt:lpstr>
      <vt:lpstr>5. Input_monetary values</vt:lpstr>
      <vt:lpstr>6. Conversion_factors</vt:lpstr>
      <vt:lpstr>7. Public Financing</vt:lpstr>
      <vt:lpstr>8. Transport Network Perform.</vt:lpstr>
      <vt:lpstr>9. Environment</vt:lpstr>
      <vt:lpstr>10. Society</vt:lpstr>
      <vt:lpstr>11. Private Business</vt:lpstr>
      <vt:lpstr>12. Overview_MCA</vt:lpstr>
      <vt:lpstr>13. Overview_WBA</vt:lpstr>
      <vt:lpstr>14. Overview_CBA</vt:lpstr>
      <vt:lpstr>15. Overview_qual. appraisal</vt:lpstr>
      <vt:lpstr>16. Result_Impact assessment</vt:lpstr>
      <vt:lpstr>Countries_list</vt:lpstr>
      <vt:lpstr>AssessmentPeriod</vt:lpstr>
      <vt:lpstr>Countries</vt:lpstr>
      <vt:lpstr>'10. Society'!Druckbereich</vt:lpstr>
      <vt:lpstr>'11. Private Business'!Druckbereich</vt:lpstr>
      <vt:lpstr>'12. Overview_MCA'!Druckbereich</vt:lpstr>
      <vt:lpstr>'13. Overview_WBA'!Druckbereich</vt:lpstr>
      <vt:lpstr>'14. Overview_CBA'!Druckbereich</vt:lpstr>
      <vt:lpstr>'15. Overview_qual. appraisal'!Druckbereich</vt:lpstr>
      <vt:lpstr>'4. Input_traffic data'!Druckbereich</vt:lpstr>
      <vt:lpstr>'8. Transport Network Perform.'!Druckbereich</vt:lpstr>
      <vt:lpstr>'9. Environment'!Druckbereich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2019-08-07T11:25:46Z</dcterms:modified>
</cp:coreProperties>
</file>